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570" windowHeight="11115" tabRatio="919" firstSheet="3" activeTab="3"/>
  </bookViews>
  <sheets>
    <sheet name="Титульник" sheetId="1" r:id="rId1"/>
    <sheet name="Пр.1 Раздел 1" sheetId="2" r:id="rId2"/>
    <sheet name="Пр.1 Раздел 2, 3" sheetId="3" r:id="rId3"/>
    <sheet name="Пр.1 Раздел 4" sheetId="4" r:id="rId4"/>
    <sheet name="Пр.1 Раздел 5" sheetId="5" r:id="rId5"/>
    <sheet name="Раз.6 врем. расп." sheetId="6" r:id="rId6"/>
    <sheet name="Пр. №4 2019 год " sheetId="7" r:id="rId7"/>
    <sheet name="Пр № 4 2020 и 2021 годы" sheetId="8" r:id="rId8"/>
    <sheet name="211" sheetId="9" r:id="rId9"/>
    <sheet name="212" sheetId="10" r:id="rId10"/>
    <sheet name="229" sheetId="11" r:id="rId11"/>
    <sheet name="291 295" sheetId="12" r:id="rId12"/>
    <sheet name="213" sheetId="13" r:id="rId13"/>
    <sheet name="244 226" sheetId="14" r:id="rId14"/>
    <sheet name="221 222" sheetId="15" r:id="rId15"/>
    <sheet name="223" sheetId="16" r:id="rId16"/>
    <sheet name="224" sheetId="17" r:id="rId17"/>
    <sheet name="225" sheetId="18" r:id="rId18"/>
    <sheet name="226" sheetId="19" r:id="rId19"/>
    <sheet name="349" sheetId="20" r:id="rId20"/>
    <sheet name="345" sheetId="21" r:id="rId21"/>
    <sheet name="346,344" sheetId="22" r:id="rId22"/>
    <sheet name="343" sheetId="23" r:id="rId23"/>
    <sheet name="ОС" sheetId="24" r:id="rId24"/>
    <sheet name="ПО КЦСР" sheetId="25" r:id="rId25"/>
    <sheet name="Пр. №4 по оплате " sheetId="26" r:id="rId26"/>
    <sheet name="Пр. №5 по оплате" sheetId="27" r:id="rId27"/>
    <sheet name="Пр.2 Расч выпл. перс.1.2, 1.3" sheetId="28" state="hidden" r:id="rId28"/>
    <sheet name="целевые " sheetId="29" state="hidden" r:id="rId29"/>
    <sheet name="310" sheetId="30" state="hidden" r:id="rId30"/>
  </sheets>
  <externalReferences>
    <externalReference r:id="rId33"/>
  </externalReferences>
  <definedNames>
    <definedName name="_ftn1" localSheetId="1">"$'пр.1 раздел 1'.$#ref" "$#REF!"</definedName>
    <definedName name="_ftnref1" localSheetId="1">"$'пр.1 раздел 1'.$#ref" "$#REF!"</definedName>
    <definedName name="_ftnref2" localSheetId="1">"$'пр.1 раздел 1'.$#ref" "$#REF!"</definedName>
    <definedName name="_ftnref3" localSheetId="1">"$'пр.1 раздел 1'.$#ref" "$#REF!"</definedName>
    <definedName name="Excel_BuiltIn_Print_Area" localSheetId="6">'Пр. №4 2019 год '!$A$1:$BK$103</definedName>
    <definedName name="ZAP1REQ3BV1" localSheetId="1">"$'пр.1 раздел 1'.$#ref" "$#REF!"</definedName>
    <definedName name="ZAP24JU3CH1" localSheetId="1">"$'пр.1 раздел 1'.$#ref" "$#REF!"</definedName>
    <definedName name="ZAP25HA3HQ111" localSheetId="1">"$'пр.1 раздел 1'.$#ref" "$#REF!"</definedName>
    <definedName name="ZAP28423G11" localSheetId="1">"$'пр.1 раздел 1'.$#ref" "$#REF!"</definedName>
    <definedName name="ZAP2ATI3IB1" localSheetId="1">"$'пр.1 раздел 1'.$#ref" "$#REF!"</definedName>
    <definedName name="ZAP2DVI3IN1" localSheetId="1">"$'пр.1 раздел 1'.$#ref" "$#REF!"</definedName>
    <definedName name="ZAP2GP43IP1" localSheetId="1">"$'пр.1 раздел 1'.$#ref" "$#REF!"</definedName>
    <definedName name="_xlnm.Print_Titles" localSheetId="8">'211'!$11:$14</definedName>
    <definedName name="_xlnm.Print_Titles" localSheetId="17">'225'!$6:$7</definedName>
    <definedName name="_xlnm.Print_Titles" localSheetId="18">'226'!$6:$7</definedName>
    <definedName name="_xlnm.Print_Titles" localSheetId="20">'345'!$6:$7</definedName>
    <definedName name="_xlnm.Print_Titles" localSheetId="21">'346,344'!$6:$7</definedName>
    <definedName name="_xlnm.Print_Titles" localSheetId="7">'Пр № 4 2020 и 2021 годы'!$3:$7</definedName>
    <definedName name="_xlnm.Print_Titles" localSheetId="6">'Пр. №4 2019 год '!$A:$C,'Пр. №4 2019 год '!$5:$9</definedName>
    <definedName name="_xlnm.Print_Titles" localSheetId="25">'Пр. №4 по оплате '!$9:$11</definedName>
    <definedName name="_xlnm.Print_Titles" localSheetId="3">'Пр.1 Раздел 4'!$2:$7</definedName>
    <definedName name="_xlnm.Print_Area" localSheetId="8">'211'!$A$1:$K$120</definedName>
    <definedName name="_xlnm.Print_Area" localSheetId="12">'213'!$A$1:$F$60</definedName>
    <definedName name="_xlnm.Print_Area" localSheetId="17">'225'!$A$1:$F$45</definedName>
    <definedName name="_xlnm.Print_Area" localSheetId="6">'Пр. №4 2019 год '!$A$1:$AQ$127</definedName>
    <definedName name="_xlnm.Print_Area" localSheetId="1">'Пр.1 Раздел 1'!$A$28:$AC$50</definedName>
    <definedName name="_xlnm.Print_Area" localSheetId="2">'Пр.1 Раздел 2, 3'!$A$1:$L$67</definedName>
    <definedName name="_xlnm.Print_Area" localSheetId="0">'Титульник'!$B$1:$M$27</definedName>
  </definedNames>
  <calcPr fullCalcOnLoad="1"/>
</workbook>
</file>

<file path=xl/comments3.xml><?xml version="1.0" encoding="utf-8"?>
<comments xmlns="http://schemas.openxmlformats.org/spreadsheetml/2006/main">
  <authors>
    <author>ZP2</author>
  </authors>
  <commentList>
    <comment ref="L38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гони+самовар+теле2</t>
        </r>
      </text>
    </comment>
    <comment ref="L39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гфс</t>
        </r>
      </text>
    </comment>
    <comment ref="K60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205 счет</t>
        </r>
      </text>
    </comment>
    <comment ref="K61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206 счет</t>
        </r>
      </text>
    </comment>
    <comment ref="K62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302,00 счет</t>
        </r>
      </text>
    </comment>
  </commentList>
</comments>
</file>

<file path=xl/comments4.xml><?xml version="1.0" encoding="utf-8"?>
<comments xmlns="http://schemas.openxmlformats.org/spreadsheetml/2006/main">
  <authors>
    <author/>
    <author>Economist4</author>
  </authors>
  <commentList>
    <comment ref="D2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дробить</t>
        </r>
      </text>
    </comment>
    <comment ref="I93" authorId="0">
      <text>
        <r>
          <rPr>
            <b/>
            <sz val="8"/>
            <color indexed="8"/>
            <rFont val="Tahoma"/>
            <family val="2"/>
          </rPr>
          <t xml:space="preserve">указать планируемый остаток касса 54650, банк 842246,67
</t>
        </r>
      </text>
    </comment>
    <comment ref="O93" authorId="0">
      <text>
        <r>
          <rPr>
            <b/>
            <sz val="8"/>
            <color indexed="8"/>
            <rFont val="Tahoma"/>
            <family val="2"/>
          </rPr>
          <t xml:space="preserve">указать планируемый остаток
</t>
        </r>
      </text>
    </comment>
    <comment ref="U93" authorId="0">
      <text>
        <r>
          <rPr>
            <b/>
            <sz val="8"/>
            <color indexed="8"/>
            <rFont val="Tahoma"/>
            <family val="2"/>
          </rPr>
          <t xml:space="preserve">указать планируемый остаток
</t>
        </r>
      </text>
    </comment>
    <comment ref="I18" authorId="1">
      <text>
        <r>
          <rPr>
            <b/>
            <sz val="9"/>
            <rFont val="Tahoma"/>
            <family val="2"/>
          </rPr>
          <t xml:space="preserve">Economi
</t>
        </r>
      </text>
    </comment>
    <comment ref="Q18" authorId="1">
      <text>
        <r>
          <rPr>
            <b/>
            <sz val="9"/>
            <rFont val="Tahoma"/>
            <family val="2"/>
          </rPr>
          <t xml:space="preserve">Economi
</t>
        </r>
      </text>
    </comment>
  </commentList>
</comments>
</file>

<file path=xl/comments7.xml><?xml version="1.0" encoding="utf-8"?>
<comments xmlns="http://schemas.openxmlformats.org/spreadsheetml/2006/main">
  <authors>
    <author>ZP2</author>
  </authors>
  <commentList>
    <comment ref="AF52" authorId="0">
      <text>
        <r>
          <rPr>
            <b/>
            <sz val="9"/>
            <rFont val="Tahoma"/>
            <family val="2"/>
          </rPr>
          <t>ZP2:</t>
        </r>
        <r>
          <rPr>
            <sz val="9"/>
            <rFont val="Tahoma"/>
            <family val="2"/>
          </rPr>
          <t xml:space="preserve">
- 65 т.р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24030652,38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7257246,2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24030652,38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7257246,2</t>
        </r>
      </text>
    </comment>
  </commentList>
</comments>
</file>

<file path=xl/sharedStrings.xml><?xml version="1.0" encoding="utf-8"?>
<sst xmlns="http://schemas.openxmlformats.org/spreadsheetml/2006/main" count="2309" uniqueCount="1120">
  <si>
    <t>5. Расчет (обоснование) прочих расходов (кроме расходов на закупку товаров, работ, услуг)</t>
  </si>
  <si>
    <t>все косгу кроме квр 244</t>
  </si>
  <si>
    <t>244 Прочая закупка товаров, работ и услуг для обеспечения государственных (муниципальных) нужд</t>
  </si>
  <si>
    <t>Обоснования цены ед. товара, работы, услуги (наименование документа, реквизиты)</t>
  </si>
  <si>
    <t>Авторское вознаграждение</t>
  </si>
  <si>
    <t>Итого за счет средств от ПДД: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</si>
  <si>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</si>
  <si>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</si>
  <si>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</si>
  <si>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</si>
  <si>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еденицу, с учетом НДС, руб.</t>
  </si>
  <si>
    <t>Сумма, с учетом НДС, руб. (гр. 3 х гр. 4 х гр. 5)</t>
  </si>
  <si>
    <t xml:space="preserve">Абонентская плата </t>
  </si>
  <si>
    <t>Повременная оплата междугородных, международных и местных телефонных соединений (в минутах)</t>
  </si>
  <si>
    <t>Пересылка почтовой корреспонденции, в том числе: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</si>
  <si>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</si>
  <si>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</si>
  <si>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с учетом НДС, руб.</t>
  </si>
  <si>
    <t>Сумма,  с учетом НДС, руб.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</si>
  <si>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</si>
  <si>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</si>
  <si>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</si>
  <si>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</si>
  <si>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                      (с учетом НДС), руб.</t>
  </si>
  <si>
    <t>Сумма, с учетом НДС, руб. (гр. 3 х гр.4)</t>
  </si>
  <si>
    <t>Теплоэнергия</t>
  </si>
  <si>
    <t>Электроэнергия</t>
  </si>
  <si>
    <t xml:space="preserve">Водоснабжение </t>
  </si>
  <si>
    <t>Водоотведение</t>
  </si>
  <si>
    <t xml:space="preserve">Водоснабжение, </t>
  </si>
  <si>
    <t>6.4. Расчет (обоснование) расходов на оплату аренды имущества</t>
  </si>
  <si>
    <t xml:space="preserve">Количество </t>
  </si>
  <si>
    <t>Ставка арендной платы,  с учетом НДС, руб.</t>
  </si>
  <si>
    <t>Стоимость, с учетом НДС, руб.</t>
  </si>
  <si>
    <t>Аренда МТК</t>
  </si>
  <si>
    <t>Аренда реквизита</t>
  </si>
  <si>
    <t>Аренда звукового оборудования</t>
  </si>
  <si>
    <t>Аренда бункера</t>
  </si>
  <si>
    <t>Итого за счет ПДД:</t>
  </si>
  <si>
    <t>Сбор, транспортировка и обработка ТБО, с передачей в собственность отходов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</si>
  <si>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</si>
  <si>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</si>
  <si>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</si>
  <si>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 с учетом НДС, руб.</t>
  </si>
  <si>
    <t>Подготовка к летнему сезону фонтана в парке Ленинского комсомола</t>
  </si>
  <si>
    <t>Техническое обслуживание фонтана</t>
  </si>
  <si>
    <t>Уборка помещений</t>
  </si>
  <si>
    <t>Дератизация</t>
  </si>
  <si>
    <t>Обслуживание мобильных туалетных кабинок</t>
  </si>
  <si>
    <t>Ремонт электрооборудования</t>
  </si>
  <si>
    <t>Испытание и измерение электрооборудования</t>
  </si>
  <si>
    <t>Сбор и транспортировка энергосберегающих и ртутных ламп</t>
  </si>
  <si>
    <t>Зарядка огнетушителе и замена пломбы</t>
  </si>
  <si>
    <t>Обслуживание АПС</t>
  </si>
  <si>
    <t>Техническое обслуживание систем ГО и ЧС</t>
  </si>
  <si>
    <t>Испытание внутреннего противопожарного водопровода</t>
  </si>
  <si>
    <t>Дезинсекция (Акарицидная обработка)</t>
  </si>
  <si>
    <t>6.6. Расчет (обоснование) расходов на оплату прочих работ, услуг</t>
  </si>
  <si>
    <t>Количество договоров</t>
  </si>
  <si>
    <t>Стоимость услуги с учетом НДС, руб.</t>
  </si>
  <si>
    <t>Обучение по электробезопасности и аттестация в Ростехнадзоре</t>
  </si>
  <si>
    <t>Обучение по теплопотребляющим энергоустановкам и аттестация в Ростехнадзоре</t>
  </si>
  <si>
    <t>Обучение пожарно-техническому минимуму</t>
  </si>
  <si>
    <t>Медицинский осмотр</t>
  </si>
  <si>
    <t>Услуги по предоставлению выписок из государственных реестров</t>
  </si>
  <si>
    <t>Скриншот сайта www.rosreestr.ru получение выписок ежеквартально по 500 руб.</t>
  </si>
  <si>
    <t>Совершение нотариальных действий (заверение подлинности подписи)</t>
  </si>
  <si>
    <t xml:space="preserve">Обслуживание КТС </t>
  </si>
  <si>
    <t>Техническое обслуживание объектовой станции ПАК "Стрелец мониторинг"</t>
  </si>
  <si>
    <t>Количество</t>
  </si>
  <si>
    <t>Средняя стоимость, с учетом НДС, руб.</t>
  </si>
  <si>
    <t>Сумма,с учетом НДС, руб. (гр. 3 х гр. 4)</t>
  </si>
  <si>
    <t>Газета (Информационный бюллетень)</t>
  </si>
  <si>
    <t>Туалетная бумага</t>
  </si>
  <si>
    <t>Приложение 4</t>
  </si>
  <si>
    <t>№№</t>
  </si>
  <si>
    <t>Наименование статьи</t>
  </si>
  <si>
    <t>КОСГУ</t>
  </si>
  <si>
    <t>ВСЕГО</t>
  </si>
  <si>
    <t>в том числе, руб.:</t>
  </si>
  <si>
    <t>Из них</t>
  </si>
  <si>
    <t>Субсидии на финансовое обеспечение выполнения муниципального задания</t>
  </si>
  <si>
    <t>Субсидии, предоставляемые в соответствии с абз.2 п.1 ст.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</si>
  <si>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</si>
  <si>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деятельности, ИЗ НИХ</t>
  </si>
  <si>
    <t>I квартал</t>
  </si>
  <si>
    <t>II квартал</t>
  </si>
  <si>
    <t>III квартал</t>
  </si>
  <si>
    <t>IV квартал</t>
  </si>
  <si>
    <t xml:space="preserve">Поступления от оказания услуг (выполнения работ) на платной основе </t>
  </si>
  <si>
    <t>Добровольные пожертвования</t>
  </si>
  <si>
    <t>Гранты</t>
  </si>
  <si>
    <t>Иная приносящая доход деятельность</t>
  </si>
  <si>
    <t>в том числе</t>
  </si>
  <si>
    <t>Оплата авторского вознаграждения</t>
  </si>
  <si>
    <t xml:space="preserve"> </t>
  </si>
  <si>
    <t>Предоставление абонентской линии</t>
  </si>
  <si>
    <t>Коммунальные услуги</t>
  </si>
  <si>
    <t>Работы, услуги по содержанию имущества из них</t>
  </si>
  <si>
    <t>Обслуживание МТК</t>
  </si>
  <si>
    <t>Замена пожарных деревянных встроенных шкафов на металлические</t>
  </si>
  <si>
    <t>Прочие работы, услуги всего</t>
  </si>
  <si>
    <t>310</t>
  </si>
  <si>
    <t>Приобретение питьевой воды</t>
  </si>
  <si>
    <t>Приобретение моторного масла</t>
  </si>
  <si>
    <t>Приобретение бензина</t>
  </si>
  <si>
    <t>Приобретение расходных материалов (леска для триммера, песко-соляная смесь)</t>
  </si>
  <si>
    <t>Изготовление информационного бюллетеня</t>
  </si>
  <si>
    <t>Приобретение туалетной бумаги</t>
  </si>
  <si>
    <t>Приобретение канцтоваров (бумага, пружина для переплета, обложка для переплета)</t>
  </si>
  <si>
    <t>Подпись</t>
  </si>
  <si>
    <t>Расшифровка</t>
  </si>
  <si>
    <t xml:space="preserve"> " ______ " ________________________ 20 ___ г.</t>
  </si>
  <si>
    <t>226</t>
  </si>
  <si>
    <t xml:space="preserve">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по делам культуры 
от _______________ № _____
</t>
  </si>
  <si>
    <t xml:space="preserve">Информация о расходах на оплату труда основного персонала и административно-хозяйственного, </t>
  </si>
  <si>
    <t>впромогательного и прочего персонала _________________________________</t>
  </si>
  <si>
    <t>(наименование учреждения)</t>
  </si>
  <si>
    <t>на ______________________ год</t>
  </si>
  <si>
    <t>Категория персонала</t>
  </si>
  <si>
    <t>Штатная численность работников, единиц</t>
  </si>
  <si>
    <t>Фонд заработной платы* работников по источникам финансирования, тыс.руб. с одним десятичным знаком</t>
  </si>
  <si>
    <t>Доля расходов на оплату труда, %</t>
  </si>
  <si>
    <t>За счет средств бюджета</t>
  </si>
  <si>
    <t>За счет средств приносящей доход деятельности</t>
  </si>
  <si>
    <t>А</t>
  </si>
  <si>
    <t>Б</t>
  </si>
  <si>
    <t>Всего (сумма строк 1,2)</t>
  </si>
  <si>
    <t>работники административно-управленческого и вспомогательного персонала**</t>
  </si>
  <si>
    <t>руководитель организации, заместители руководителя, главный бухгалтер, руководители структурных подразделений и их заместители</t>
  </si>
  <si>
    <t>работники административно-управленческого персонала (за исключением включенных в пункт 1.1)</t>
  </si>
  <si>
    <t>………***</t>
  </si>
  <si>
    <t>работники вспомогательного персонала</t>
  </si>
  <si>
    <t>Работники основного персонала</t>
  </si>
  <si>
    <t xml:space="preserve">Количество выплат в год </t>
  </si>
  <si>
    <t>* - с учетом начислений на выплаты по оплате труда</t>
  </si>
  <si>
    <t>** - предельная доля - не более 40%</t>
  </si>
  <si>
    <t>*** - Наименование должности (профессии)</t>
  </si>
  <si>
    <t>Расшифровка подписи</t>
  </si>
  <si>
    <t>"______" _____________________20 __ г.</t>
  </si>
  <si>
    <t xml:space="preserve">Информация об обеспечении соотношения средней заработной платы основного и </t>
  </si>
  <si>
    <t>впромогательного персонала _________________________________</t>
  </si>
  <si>
    <t>Средняя заработная плата, руб.</t>
  </si>
  <si>
    <t>Соотношение средней заработной платы (стр 1 гр.5/стр 2 гр.5)</t>
  </si>
  <si>
    <t>Работники вспомогательного персонала**</t>
  </si>
  <si>
    <t>* - без учета начислений на выплаты по оплате труда</t>
  </si>
  <si>
    <t>** - рекомендуемое значение соотношения средней з/п основного и вспомогательного персонала государственных учреждений согласно "доржной карте":   1:0,7 - 1:0,5</t>
  </si>
  <si>
    <t>КЦСР</t>
  </si>
  <si>
    <t>Техническое обслуживание теплового пункта</t>
  </si>
  <si>
    <t>5.3.23</t>
  </si>
  <si>
    <t>223/021</t>
  </si>
  <si>
    <t>223/022</t>
  </si>
  <si>
    <t>223/023</t>
  </si>
  <si>
    <t>Расшифровка видов выплат к плану финансово-хозяйственной деятельности на 2019 год</t>
  </si>
  <si>
    <t>Приложение №4</t>
  </si>
  <si>
    <t>Раздел 2. Сведения о закрепленном за учреждением имуществе</t>
  </si>
  <si>
    <t>Сумма</t>
  </si>
  <si>
    <t>помещение</t>
  </si>
  <si>
    <t>сооружений</t>
  </si>
  <si>
    <t>кв.м.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</si>
  <si>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</si>
  <si>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</si>
  <si>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депозитах в кредитной организации</t>
  </si>
  <si>
    <t>иные финансовые инструменты</t>
  </si>
  <si>
    <t>дебиторская задолженность по расходам</t>
  </si>
  <si>
    <t>долговые обязательства</t>
  </si>
  <si>
    <t>кредиторская задолженность</t>
  </si>
  <si>
    <t>в том числе: обязательное социальное страхование на случай временной нетрудоспособности и в связи с материнством по ставке 2,9%**</t>
  </si>
  <si>
    <t>Субсидия на финансовое обеспечение выполнения муниципального задания, приносящая доход деятельность учреждения</t>
  </si>
  <si>
    <t>Учтено в Плане ФХД, руб.</t>
  </si>
  <si>
    <t xml:space="preserve"> фонтан в парке Ленинского комсомола</t>
  </si>
  <si>
    <t>Услуга оказывается ежемесячно по заявке учреждения</t>
  </si>
  <si>
    <t xml:space="preserve">1 услуга (май, июнь, июль, август, сентябрь) </t>
  </si>
  <si>
    <t>Помещения М.Горького 22а (1560,5 кв.м.), М.Горького 2 (80,0 кв.м.)</t>
  </si>
  <si>
    <t>9 шт.</t>
  </si>
  <si>
    <t>Административное здание в парке КиО, здание дом музыки и кино М.Горького 22а</t>
  </si>
  <si>
    <t>парка Лен.комсомола 4,8га, парка КиО 8га, парка 200-Летия 5,5га</t>
  </si>
  <si>
    <t>59 объектов электрооборудования</t>
  </si>
  <si>
    <t>Замеры сопротивления изоляции в парках КиО и 200-летия</t>
  </si>
  <si>
    <t>Лампы ртутные 60 шт., Энергосберегающие 50 шт.</t>
  </si>
  <si>
    <t>35 огнетушителей</t>
  </si>
  <si>
    <t>Здание Дом музыки и кино, административное здание в парке КиО</t>
  </si>
  <si>
    <t>12 кранов</t>
  </si>
  <si>
    <t>Здание Дом музыки и кино</t>
  </si>
  <si>
    <t>Итого за счет среств субсидии, предоставляемой в соответствии с абз.2 п.1 ст. 78.1 БК РФ:</t>
  </si>
  <si>
    <t>Моторное масло, литр</t>
  </si>
  <si>
    <t>Интернет, услуги почты, междугородние телефонные соединения</t>
  </si>
  <si>
    <t>ИТОГО</t>
  </si>
  <si>
    <t>КВСР</t>
  </si>
  <si>
    <t>КФСР</t>
  </si>
  <si>
    <t>КВР</t>
  </si>
  <si>
    <t>Тип средств</t>
  </si>
  <si>
    <t>Плановые показатели</t>
  </si>
  <si>
    <t>1 кв.</t>
  </si>
  <si>
    <t>2 кв.</t>
  </si>
  <si>
    <t>3 кв.</t>
  </si>
  <si>
    <t>4 кв.</t>
  </si>
  <si>
    <t>КБК 80800000000000000130</t>
  </si>
  <si>
    <t>02.01.00.</t>
  </si>
  <si>
    <t>КБК 80800000000000000180</t>
  </si>
  <si>
    <t>02.02.02.</t>
  </si>
  <si>
    <t>I. Поступления от доходов</t>
  </si>
  <si>
    <t>II. Выплаты по расходам</t>
  </si>
  <si>
    <t>всего КБК 80800000000000000130</t>
  </si>
  <si>
    <t>0801</t>
  </si>
  <si>
    <t>02.02.02</t>
  </si>
  <si>
    <t>МБУК "ГКДЦ Единение"</t>
  </si>
  <si>
    <t xml:space="preserve">приносящая доход деятельность учреждения </t>
  </si>
  <si>
    <t>в год 1 раз</t>
  </si>
  <si>
    <t>1 услуга</t>
  </si>
  <si>
    <t>1 услуга, ежемесячно</t>
  </si>
  <si>
    <t>1 услуга, 1 раз в квартал</t>
  </si>
  <si>
    <t>1 услуга, в парке КиО  3 раза в месяц за период с мая-октябрь, в парке 200-летия 3 раза в месяц за период с апреля-октябрь</t>
  </si>
  <si>
    <t>1 услуга, раз в год</t>
  </si>
  <si>
    <t>1 услуга, 2 раза в год</t>
  </si>
  <si>
    <t>1 договор</t>
  </si>
  <si>
    <t xml:space="preserve">Услуги по предоставлению выписок из ЕГРП на недвижимое имущество </t>
  </si>
  <si>
    <t>Медицинский осмотр, 4 чел.</t>
  </si>
  <si>
    <t>КБК 80800000000000000130 в кассе</t>
  </si>
  <si>
    <t>всего КБК 80800000000000000180 остаток</t>
  </si>
  <si>
    <t>Итого за счет средств Пожертвований:</t>
  </si>
  <si>
    <t>** В связи с выделением ЛБО на 2017 год в размере 1802778,50 руб., страховые взносы в ФСС на обязательное социальное страхование на случай временной нетрудоспособности и в связи с материнством уменьшена на сумму 0,2 руб.( с базы 303,45 руб) с одновременным уменьшением суммы страховых взносов за счет средств ПДД</t>
  </si>
  <si>
    <t>Учтено в плане ФХД, руб.</t>
  </si>
  <si>
    <t>"___" ______________20___г.</t>
  </si>
  <si>
    <t>КБК 80800000000000000120</t>
  </si>
  <si>
    <t>Приобретение расходных материалов для проведения социально-творческого заказа (баннеры, пластик, саморезы, плита, трубы, пленки и т.д.) в том числе:</t>
  </si>
  <si>
    <t>Плита ОSB</t>
  </si>
  <si>
    <t>Поликарбонат сотовый</t>
  </si>
  <si>
    <t>***С учетом экономии по больничным листам и экономии от применения пониженного процента начисления страховых взносов в фонды при наступлении предельной величины базы</t>
  </si>
  <si>
    <t>Итого за счет средств от приносящей доход деятельности:</t>
  </si>
  <si>
    <t>Учтено в Плане 
ФХД, руб.</t>
  </si>
  <si>
    <t>Всего:</t>
  </si>
  <si>
    <t>Итого за счет средств от приносящей доход деятельности***:</t>
  </si>
  <si>
    <t>Итого за счет субсидии на финансовое обеспечение выполнения МЗ:</t>
  </si>
  <si>
    <t>Смета на проведение городского культурно-массового мероприятия, посвященного Масленнице, Дню Победы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</si>
  <si>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</si>
  <si>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</si>
  <si>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</si>
  <si>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</si>
  <si>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</si>
  <si>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</si>
  <si>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</si>
  <si>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</si>
  <si>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</si>
  <si>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</si>
  <si>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 xml:space="preserve">Приложение 2
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по делам культуры </t>
  </si>
  <si>
    <t xml:space="preserve">Приложение 4
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по делам культуры </t>
  </si>
  <si>
    <t>М.П.</t>
  </si>
  <si>
    <t>(расшифровка подписи)</t>
  </si>
  <si>
    <t>(подпись)</t>
  </si>
  <si>
    <t>(с точностью до двух знаков - 0,00)</t>
  </si>
  <si>
    <t>Приложение 1
к Порядку составления и утверждения плана финансово-хозяйственной деятельности муниципальных бюджетных и  автономных учреждений, подведомственных Управлению по делам культуры</t>
  </si>
  <si>
    <r>
      <t xml:space="preserve">Код по реестру участников бюджетного процесса: </t>
    </r>
    <r>
      <rPr>
        <b/>
        <sz val="12"/>
        <rFont val="Times New Roman"/>
        <family val="1"/>
      </rPr>
      <t>28390</t>
    </r>
  </si>
  <si>
    <t>Начальник Управления по делам культуры  мэрии г.Череповца</t>
  </si>
  <si>
    <t>(руководитель Управления или лицо, уполномоченное на утверждение Плана)</t>
  </si>
  <si>
    <t xml:space="preserve">Наименование муниципального учреждения </t>
  </si>
  <si>
    <t xml:space="preserve"> ОКПО</t>
  </si>
  <si>
    <t>Место нахождения учреждения (подразделения)</t>
  </si>
  <si>
    <t xml:space="preserve">Адрес фактического местонахождения учреждения </t>
  </si>
  <si>
    <t>ИНН / КПП</t>
  </si>
  <si>
    <t>по ОКЕИ 
(или ОКВ)</t>
  </si>
  <si>
    <t>Код по реестру участников бюджетного процесса</t>
  </si>
  <si>
    <t xml:space="preserve"> ОКВЭД
(ОКОНХ)</t>
  </si>
  <si>
    <r>
      <t xml:space="preserve">1.  </t>
    </r>
    <r>
      <rPr>
        <sz val="12"/>
        <color indexed="9"/>
        <rFont val="Times New Roman"/>
        <family val="1"/>
      </rPr>
      <t xml:space="preserve">1.  1.  1.  </t>
    </r>
    <r>
      <rPr>
        <sz val="12"/>
        <rFont val="Times New Roman"/>
        <family val="1"/>
      </rPr>
      <t>2.</t>
    </r>
  </si>
  <si>
    <r>
      <t xml:space="preserve">Общая балансовая стоимость недвижимого муниципального имущества, </t>
    </r>
    <r>
      <rPr>
        <sz val="12"/>
        <rFont val="Times New Roman"/>
        <family val="1"/>
      </rPr>
      <t>всего</t>
    </r>
  </si>
  <si>
    <r>
      <t xml:space="preserve">Общая балансовая стоимость движимого имущества, </t>
    </r>
    <r>
      <rPr>
        <sz val="12"/>
        <rFont val="Times New Roman"/>
        <family val="1"/>
      </rPr>
      <t>всего</t>
    </r>
  </si>
  <si>
    <r>
      <t xml:space="preserve">Остаточная стоимость закрепленного за учреждением имущества, </t>
    </r>
    <r>
      <rPr>
        <sz val="12"/>
        <rFont val="Times New Roman"/>
        <family val="1"/>
      </rPr>
      <t>всего</t>
    </r>
  </si>
  <si>
    <r>
      <t xml:space="preserve">Количество объектов недвижимого имущества, закрепленных за учреждением, </t>
    </r>
    <r>
      <rPr>
        <sz val="12"/>
        <rFont val="Times New Roman"/>
        <family val="1"/>
      </rPr>
      <t>всего</t>
    </r>
  </si>
  <si>
    <r>
      <t xml:space="preserve">Общая площадь объектов недвижимого имущества, закрепленных за учреждением, </t>
    </r>
    <r>
      <rPr>
        <sz val="12"/>
        <rFont val="Times New Roman"/>
        <family val="1"/>
      </rPr>
      <t>всего</t>
    </r>
  </si>
  <si>
    <r>
      <t xml:space="preserve">Нефинансовые активы, </t>
    </r>
    <r>
      <rPr>
        <sz val="12"/>
        <rFont val="Times New Roman"/>
        <family val="1"/>
      </rPr>
      <t>всего</t>
    </r>
  </si>
  <si>
    <r>
      <t xml:space="preserve">Финансовые активы, </t>
    </r>
    <r>
      <rPr>
        <sz val="12"/>
        <rFont val="Times New Roman"/>
        <family val="1"/>
      </rPr>
      <t>всего</t>
    </r>
  </si>
  <si>
    <r>
      <t xml:space="preserve">Обязательства, </t>
    </r>
    <r>
      <rPr>
        <sz val="12"/>
        <rFont val="Times New Roman"/>
        <family val="1"/>
      </rPr>
      <t>всего</t>
    </r>
  </si>
  <si>
    <t>Сумма выплат по расходам на закупку товаров, работ и услуг, руб (с точностью до двух знаков после запятой - 0,00)</t>
  </si>
  <si>
    <t>УТВЕРЖДАЮ:</t>
  </si>
  <si>
    <t>И.Н. Лобанов</t>
  </si>
  <si>
    <t>ПЛАН</t>
  </si>
  <si>
    <t>ФИНАНСОВО-ХОЗЯЙСТВЕННОЙ ДЕЯТЕЛЬНОСТИ</t>
  </si>
  <si>
    <t>КОДЫ</t>
  </si>
  <si>
    <t>НА 2017-2019 год</t>
  </si>
  <si>
    <t>Дата составления</t>
  </si>
  <si>
    <t>Наименование муниципального</t>
  </si>
  <si>
    <t>Муниципальное бюджетное учреждение культуры "Городской культурно-досуговый центр "Единение"</t>
  </si>
  <si>
    <t>учреждения</t>
  </si>
  <si>
    <t>ОКВЭД (ОКОНХ)</t>
  </si>
  <si>
    <t>92.31.21</t>
  </si>
  <si>
    <t>Наименование обособленного (структурного)</t>
  </si>
  <si>
    <t>92.51, 92.13</t>
  </si>
  <si>
    <t>подразделения учреждения</t>
  </si>
  <si>
    <t>ОКПО</t>
  </si>
  <si>
    <t>ОКФС</t>
  </si>
  <si>
    <t>Место нахождения учреждения</t>
  </si>
  <si>
    <t>162614, Вологодская обл., г. Череповец, ул. М.Горького, д. 22а</t>
  </si>
  <si>
    <t>ОКТМО</t>
  </si>
  <si>
    <t>(подразделения)</t>
  </si>
  <si>
    <t>ОКОПФ</t>
  </si>
  <si>
    <t>ИНН/КПП</t>
  </si>
  <si>
    <t>3528067753/352801001</t>
  </si>
  <si>
    <t>ОКОГУ</t>
  </si>
  <si>
    <t>по ОКЕИ</t>
  </si>
  <si>
    <t>Единица измерения: руб. (с точностью до второго десятичного знака)</t>
  </si>
  <si>
    <t>Раздел 1. Сведения о целях и видах деятельности учреждения (подразделения)</t>
  </si>
  <si>
    <t>Цели деятельности учреждения (подразделения) в соответствии с уставом учреждения (положением подразделения):</t>
  </si>
  <si>
    <t>1.  2.  3.  4.</t>
  </si>
  <si>
    <t xml:space="preserve">организация досуга;
обеспечение жителей городского округа услугами организации культуры;
временное удовлетворение социально-культурных, духовных потребностей различных категорий населения;
приобщение личности к культуре и духовным ценностям
</t>
  </si>
  <si>
    <t>Виды деятельности учреждения, относящиеся к его основным видам деятельности в соответствии с уставом учреждения (положением подразделения):</t>
  </si>
  <si>
    <t>организация деятельности клубных формирований и формирований самодеятельного народного творчества: студий кружков художественного творчествапоказ спектаклей, концертов и концертных программ, иных зрелищных программ, в том числе: организация проведения культурно-досуговых, культурно-просветительских, социально-культурных, зрелищно-развлекательных мероприятий города, организация и проведение киноконцертных программ, концертов, кинофестивалей, музыкальных праздников, творческих встреч, кинолекториев, кино-клубов, кино-марафонов, смотров творческих коллективов города;
организация деятельности клубных формирований.</t>
  </si>
  <si>
    <t>1.1.</t>
  </si>
  <si>
    <t>Перечень услуг (работ), относящихся в соответствии с уставом (положением подразделения) к основным видам деятельности</t>
  </si>
  <si>
    <t>учреждения (подразделения), предоставление которых для физических и юридических лиц осуществляется в том числе за плату:</t>
  </si>
  <si>
    <t>Наименование услуг (работ)</t>
  </si>
  <si>
    <t>Категории физических и (или) юридических лиц, являющихся потребителями услуг работ</t>
  </si>
  <si>
    <t>1.</t>
  </si>
  <si>
    <t>Пропаганда лучших образцов российского и мирового киноискусства</t>
  </si>
  <si>
    <t>физические и (или) юридические лица</t>
  </si>
  <si>
    <t>2.</t>
  </si>
  <si>
    <t>Развитие современных форм организации культурного досуга с учетом потребностей различных социально-возрастных групп населения</t>
  </si>
  <si>
    <t>3.</t>
  </si>
  <si>
    <t>Проведение массовых театрализованных праздников и представление, народных гуляний в соответствии с региональными и местными обычаями и традициями</t>
  </si>
  <si>
    <t>4.</t>
  </si>
  <si>
    <t>Организация, проведение концертов, театрально-зрелищных, игровых мероприятий, выставок, в том числе с участием профессиональных коллективов, авторов и исполнителей с использованием произведений киноискусства</t>
  </si>
  <si>
    <t>5.</t>
  </si>
  <si>
    <t>Организация деятельности любительских объединений и клубов по интересам</t>
  </si>
  <si>
    <t>6.</t>
  </si>
  <si>
    <t>Организация проведения культурно-досуговых мероприятий культурно-просветительских, социально-культурных, зрелищно-развлекательных мероприятий города</t>
  </si>
  <si>
    <t>7.</t>
  </si>
  <si>
    <t>Демонстрация кино-видео-фильмов, слайдов</t>
  </si>
  <si>
    <t>8.</t>
  </si>
  <si>
    <t>Организация и проведение киноконцертных программ, концертов, кинофестивалей, музыкальных праздников, творческих встреч, кинолекториев, кино-клубов, кино-марафонов, смотров творческих коллективов города</t>
  </si>
  <si>
    <t>9.</t>
  </si>
  <si>
    <t>Организация любительских объединений и клубов по интересам</t>
  </si>
  <si>
    <t>1.2.</t>
  </si>
  <si>
    <t>Перечень разрешительных документов учреждения:</t>
  </si>
  <si>
    <t>Наименование документа</t>
  </si>
  <si>
    <t>Реквизиты документа (№ и дата)</t>
  </si>
  <si>
    <t>Срок действия документа</t>
  </si>
  <si>
    <t>Устав, утвержден постановлением мэрии города</t>
  </si>
  <si>
    <t>от 10.05.2016 №1851</t>
  </si>
  <si>
    <t>-</t>
  </si>
  <si>
    <t>Свидетельство о постановке на учет</t>
  </si>
  <si>
    <t>серия 35 №002354865</t>
  </si>
  <si>
    <t>Наименование показателя</t>
  </si>
  <si>
    <t>Единица измерения</t>
  </si>
  <si>
    <t>руб.</t>
  </si>
  <si>
    <t>в том числе:</t>
  </si>
  <si>
    <t>стоимость недвижимого имущества, закрепленного за учреждением на праве оперативного управления</t>
  </si>
  <si>
    <t>из него:</t>
  </si>
  <si>
    <t>переданного в аренду</t>
  </si>
  <si>
    <t>переданного в безвозмездное пользование</t>
  </si>
  <si>
    <t>стоимость недвижимого имущества, приобретенного учреждением (подразделением) за счет выделенных бюджетных средств</t>
  </si>
  <si>
    <t>стоимость недвижимого имущества, приобретенного учреждением (подразделением) за счет доходов, полученных от приносящей доход деятельности</t>
  </si>
  <si>
    <t>стоимость 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</si>
  <si>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</si>
  <si>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шт.</t>
  </si>
  <si>
    <t>зданий</t>
  </si>
  <si>
    <t>площадь недвижимого имущества, переданного в аренду сторонним организациям</t>
  </si>
  <si>
    <t>площадь недвижимого имущества, переданного в безвозмездное пользование сторонним организациям</t>
  </si>
  <si>
    <t>Площадь недвижимого имущества, арендуемого учреждением</t>
  </si>
  <si>
    <t>Площадь недвижимого имущества, предоставленного учреждению по договору безвозмездного пользования</t>
  </si>
  <si>
    <t>Сумма, руб.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</si>
  <si>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</si>
  <si>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</si>
  <si>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</si>
  <si>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</si>
  <si>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</si>
  <si>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>просроченная кредиторская задолженность</t>
  </si>
  <si>
    <t>Раздел 4. 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</si>
  <si>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</si>
  <si>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</si>
  <si>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</si>
  <si>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Субсидии на финансовое обеспечение выполнения муниципальгого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</si>
  <si>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</si>
  <si>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
вложений
</t>
  </si>
  <si>
    <t xml:space="preserve">Поступления от оказания услуг (выполнения работ) на платной основе и от иной приносящей доход деятельности </t>
  </si>
  <si>
    <t>Всего</t>
  </si>
  <si>
    <t>из них гранты</t>
  </si>
  <si>
    <t>I</t>
  </si>
  <si>
    <t>Поступления от доходов, всего:</t>
  </si>
  <si>
    <t>X</t>
  </si>
  <si>
    <t>1.1</t>
  </si>
  <si>
    <t>доходы от собственности</t>
  </si>
  <si>
    <t>1.2</t>
  </si>
  <si>
    <t>доходы от оказания услуг, работ</t>
  </si>
  <si>
    <t>1.3</t>
  </si>
  <si>
    <t>доходы от штрафов, пеней, иных сумм принудительного изъятия</t>
  </si>
  <si>
    <t>1.4</t>
  </si>
  <si>
    <t>иные субсидии, предоставленные из бюджета</t>
  </si>
  <si>
    <t>1.5</t>
  </si>
  <si>
    <t>прочие доходы</t>
  </si>
  <si>
    <t>1.6</t>
  </si>
  <si>
    <t>доходы от операций с активами</t>
  </si>
  <si>
    <t>808 00000 00 0 00 0000 410</t>
  </si>
  <si>
    <t>II</t>
  </si>
  <si>
    <t xml:space="preserve">Выплаты по расходам, всего:  </t>
  </si>
  <si>
    <t>в том числе на: выплаты персоналу всего:</t>
  </si>
  <si>
    <t>1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</si>
  <si>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</si>
  <si>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</si>
  <si>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</si>
  <si>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2</t>
  </si>
  <si>
    <t>2.1</t>
  </si>
  <si>
    <t>2.2</t>
  </si>
  <si>
    <t>3</t>
  </si>
  <si>
    <t>Уплата налогов, сборов и иных платежей, всего</t>
  </si>
  <si>
    <t>3.1</t>
  </si>
  <si>
    <t>3.2</t>
  </si>
  <si>
    <t>3.3</t>
  </si>
  <si>
    <t>4</t>
  </si>
  <si>
    <t>Безвозмездные перечисления организациям</t>
  </si>
  <si>
    <t>5</t>
  </si>
  <si>
    <t>Прочие расходы (кроме расходов на закупку товаров, работ, услуг) всего</t>
  </si>
  <si>
    <t>5.1</t>
  </si>
  <si>
    <t>6</t>
  </si>
  <si>
    <t>расходы на закупку товаров, работ, услуг, всего</t>
  </si>
  <si>
    <t>6.1</t>
  </si>
  <si>
    <t>Услуги связи</t>
  </si>
  <si>
    <t>244 221</t>
  </si>
  <si>
    <t>6.1.1</t>
  </si>
  <si>
    <t>6.2</t>
  </si>
  <si>
    <t>Транспортные услуги</t>
  </si>
  <si>
    <t>244 222</t>
  </si>
  <si>
    <t>6.2.1</t>
  </si>
  <si>
    <t>6.2.2</t>
  </si>
  <si>
    <t>6.3</t>
  </si>
  <si>
    <t>Комунальные услуги</t>
  </si>
  <si>
    <t>244 223</t>
  </si>
  <si>
    <t>6.3.1</t>
  </si>
  <si>
    <t>6.4</t>
  </si>
  <si>
    <t>Арендная плата за пользование имуществом</t>
  </si>
  <si>
    <t>244 224</t>
  </si>
  <si>
    <t>6.4.1</t>
  </si>
  <si>
    <t>6.5</t>
  </si>
  <si>
    <t xml:space="preserve">Работы, услуги по содержанию имущества </t>
  </si>
  <si>
    <t>244 225</t>
  </si>
  <si>
    <t>6.5.3</t>
  </si>
  <si>
    <t>6.5.4</t>
  </si>
  <si>
    <t>6.5.5</t>
  </si>
  <si>
    <t>6.5.6</t>
  </si>
  <si>
    <t>6.5.7</t>
  </si>
  <si>
    <t>6.5.8</t>
  </si>
  <si>
    <t>808 0801 21 1 03 00000 244 225</t>
  </si>
  <si>
    <t>6.5.9</t>
  </si>
  <si>
    <t>6.5.10</t>
  </si>
  <si>
    <t>6.5.11</t>
  </si>
  <si>
    <t>6.5.12</t>
  </si>
  <si>
    <t>6.5.13</t>
  </si>
  <si>
    <t>6.6</t>
  </si>
  <si>
    <t>Прочие работы, услуги , расходы</t>
  </si>
  <si>
    <t>6.6.1</t>
  </si>
  <si>
    <t>6.6.3</t>
  </si>
  <si>
    <t>Поступление нефинансовых активов, всего:</t>
  </si>
  <si>
    <t>Увеличение стоимости основных средств</t>
  </si>
  <si>
    <t>244 310</t>
  </si>
  <si>
    <t>7.1.1</t>
  </si>
  <si>
    <t>7.1.5</t>
  </si>
  <si>
    <t>Увеличение стоимости материальных запасов</t>
  </si>
  <si>
    <t>244 340</t>
  </si>
  <si>
    <t>III</t>
  </si>
  <si>
    <t>Поступление финансовых активов, всего:</t>
  </si>
  <si>
    <t>из них: увеличение остатков средств</t>
  </si>
  <si>
    <t>прочие поступления</t>
  </si>
  <si>
    <t>IV</t>
  </si>
  <si>
    <t>Выбытие финансовых активов, всего</t>
  </si>
  <si>
    <t>из них: уменьшение остатков средств</t>
  </si>
  <si>
    <t>прочие выбытия</t>
  </si>
  <si>
    <t>V</t>
  </si>
  <si>
    <t>Остаток средств на начало года</t>
  </si>
  <si>
    <t>VI</t>
  </si>
  <si>
    <t>Остаток средств на конец года</t>
  </si>
  <si>
    <t>Руководитель</t>
  </si>
  <si>
    <t>подпись</t>
  </si>
  <si>
    <t>расшифровка подписи</t>
  </si>
  <si>
    <t>должность</t>
  </si>
  <si>
    <t>Год начала закупки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</si>
  <si>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</si>
  <si>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</si>
  <si>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</si>
  <si>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</si>
  <si>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</si>
  <si>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</si>
  <si>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</si>
  <si>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r>
      <t>Сумма                                (</t>
    </r>
    <r>
      <rPr>
        <sz val="9"/>
        <rFont val="Times New Roman"/>
        <family val="1"/>
      </rPr>
      <t>руб, с точностью до двух знаков после запятой - 0,00)</t>
    </r>
  </si>
  <si>
    <t>Поступление</t>
  </si>
  <si>
    <t>Выбытие</t>
  </si>
  <si>
    <t xml:space="preserve">                                                    Раздел 7.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</si>
  <si>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</si>
  <si>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</si>
  <si>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</si>
  <si>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</si>
  <si>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Расчеты</t>
  </si>
  <si>
    <t xml:space="preserve">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</si>
  <si>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</si>
  <si>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 xml:space="preserve">Код видов расходов </t>
  </si>
  <si>
    <t>111 Фонд оплаты труда учреждений</t>
  </si>
  <si>
    <t xml:space="preserve">Источник финансового обеспечения </t>
  </si>
  <si>
    <t xml:space="preserve">Субсидия на финансовое обеспечение выполнения муниципального задания, приносящая доход деятельность учреждения 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</si>
  <si>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</si>
  <si>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</si>
  <si>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</si>
  <si>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</si>
  <si>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</si>
  <si>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</si>
  <si>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Доплата до МРОТ</t>
  </si>
  <si>
    <t>Фонд оплаты труда в год, руб. (гр. 4 х гр.8 х 12 мес.+гр.9*12 мес.)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</si>
  <si>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</si>
  <si>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</si>
  <si>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</si>
  <si>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</si>
  <si>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Директор</t>
  </si>
  <si>
    <t>Заместитель директора</t>
  </si>
  <si>
    <t>Главный инженер</t>
  </si>
  <si>
    <t>Руководитель клубного формирования</t>
  </si>
  <si>
    <t>Ведущий документовед</t>
  </si>
  <si>
    <t>Специалист по кадрам</t>
  </si>
  <si>
    <t>Методист</t>
  </si>
  <si>
    <t>Старший администратор</t>
  </si>
  <si>
    <t>Администратор</t>
  </si>
  <si>
    <t>Звукооператор</t>
  </si>
  <si>
    <t>Системный администратор</t>
  </si>
  <si>
    <t>Художник 1 категории</t>
  </si>
  <si>
    <t>Заведующий билетными кассами</t>
  </si>
  <si>
    <t>Инженер-энергетик (энергетик)</t>
  </si>
  <si>
    <t>Кассир билетный</t>
  </si>
  <si>
    <t>Контролер билетов</t>
  </si>
  <si>
    <t>Техник-теплотехник 1 категории</t>
  </si>
  <si>
    <t>Электромонтер по ремонту и обслуживанию электрооборудования</t>
  </si>
  <si>
    <t>Столяр</t>
  </si>
  <si>
    <t>Гардеробщик</t>
  </si>
  <si>
    <t>Уборщик территории</t>
  </si>
  <si>
    <t>Стимул.фонд к распределению</t>
  </si>
  <si>
    <t>Итого за счет средств субсидии:</t>
  </si>
  <si>
    <t>х</t>
  </si>
  <si>
    <t xml:space="preserve">Приносящая доход деятельность учреждения </t>
  </si>
  <si>
    <t>Главный специалист (контрактный управляющий)</t>
  </si>
  <si>
    <t>Итого за счет средств ПДД:</t>
  </si>
  <si>
    <t>ИТОГО за счет всех источников:</t>
  </si>
  <si>
    <t>1.2. Расчеты (обоснования) выплат персоналу при направлении в служебные командировки</t>
  </si>
  <si>
    <t>112 Иные выплаты персоналу учреждений, за исключением фонда оплаты труда</t>
  </si>
  <si>
    <t>Наименование расходов</t>
  </si>
  <si>
    <t>Средний размер выплаты на одного работника в день, руб.</t>
  </si>
  <si>
    <t>Количество работников</t>
  </si>
  <si>
    <t>Количество дней</t>
  </si>
  <si>
    <t>Сумма, руб.                     (гр. 3 х гр. 4 х гр. 5)</t>
  </si>
  <si>
    <t>Суточные при служебных командировках</t>
  </si>
  <si>
    <t>Оплата транспортных услуг при служебных командировках</t>
  </si>
  <si>
    <t>Оплата услуг проживания при служебных командировках</t>
  </si>
  <si>
    <t>Итого:</t>
  </si>
  <si>
    <t>x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</si>
  <si>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</si>
  <si>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</si>
  <si>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</si>
  <si>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</si>
  <si>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                       (гр. 3 х гр. 4 х гр. 5)</t>
  </si>
  <si>
    <t>Пособие по уходу за ребенком</t>
  </si>
  <si>
    <t>119 Взносы по обязательному социальному страхованию на выплаты по оплате труда работников и иные выплаты работникам учреждений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</si>
  <si>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</si>
  <si>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</si>
  <si>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</si>
  <si>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</si>
  <si>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по ставке 22,0%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</si>
  <si>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</si>
  <si>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</si>
  <si>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</si>
  <si>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</si>
  <si>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</si>
  <si>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</si>
  <si>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</si>
  <si>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</si>
  <si>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</si>
  <si>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</si>
  <si>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 ___ 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</si>
  <si>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</si>
  <si>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</si>
  <si>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N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N 52, ст. 5592; 2015, N 51, ст. 7233).</t>
  </si>
  <si>
    <t>2. Расчет (обоснование) расходов на социальные и иные выплаты населению</t>
  </si>
  <si>
    <t>Код видов расходов</t>
  </si>
  <si>
    <t>321 Пособия, компенсации и иные социальные выплаты гражданам, кроме публичных нормативных обязательств</t>
  </si>
  <si>
    <t>Источник финансового обеспечения</t>
  </si>
  <si>
    <t>Размер одной выплаты, руб.</t>
  </si>
  <si>
    <t>Количество выплат в год</t>
  </si>
  <si>
    <t>Общая сумма выплат, руб.(гр. 3 х гр. 4)</t>
  </si>
  <si>
    <t>Пособия по социальной помощи населению (оплата выходных пособий работникам при сокращении численности)</t>
  </si>
  <si>
    <t>3. Расчет (обоснование)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</si>
  <si>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</si>
  <si>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</si>
  <si>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 подлежащего уплате, руб.                    (гр. 3 х гр. 4 / 100)</t>
  </si>
  <si>
    <t>Налог на имущество</t>
  </si>
  <si>
    <t>Земельный налог</t>
  </si>
  <si>
    <t>Итого за счет субсидии:</t>
  </si>
  <si>
    <t>Итого за счет всех источников:</t>
  </si>
  <si>
    <t>4. Расчет (обоснование) расходов на безвозмездное перечисления организациям</t>
  </si>
  <si>
    <t>Обучение по теплопотребляющим энергоустановкам и аттестация в Ростехнадзоре,обучение и подготовка к аттестации по ГО</t>
  </si>
  <si>
    <t>Раздел 3. Показатели финансового состояния учреждения (подразделения)</t>
  </si>
  <si>
    <t>Директор МКУ "ЦБ ОУК"</t>
  </si>
  <si>
    <t>Директор МКУ "ЦБОУК"</t>
  </si>
  <si>
    <r>
      <t xml:space="preserve">Увеличение стоимости материальных запасов </t>
    </r>
    <r>
      <rPr>
        <i/>
        <sz val="11"/>
        <rFont val="Times New Roman"/>
        <family val="1"/>
      </rPr>
      <t>в том числе</t>
    </r>
  </si>
  <si>
    <t>Преобретение (изготовление) баннеров</t>
  </si>
  <si>
    <t>Расходные материалы</t>
  </si>
  <si>
    <t>В.В.Федюшин</t>
  </si>
  <si>
    <t>Увеличение стоимости основных средств из них</t>
  </si>
  <si>
    <t>300</t>
  </si>
  <si>
    <t>Оплата общественного порядка</t>
  </si>
  <si>
    <t>808 0801 02 3 02 00000 244 226</t>
  </si>
  <si>
    <t>2020 год</t>
  </si>
  <si>
    <t>91.01
(92.51, 92.13)</t>
  </si>
  <si>
    <t>808 0000 00 0 00 00000 120</t>
  </si>
  <si>
    <t>808 0000 00 0 00 00000 130</t>
  </si>
  <si>
    <t>808 0000 00 0 00 00000 180</t>
  </si>
  <si>
    <t>Система "Гарант"</t>
  </si>
  <si>
    <t>Тех. Освидетельствование аттракционов</t>
  </si>
  <si>
    <t>в том числе на закупку товаров, работ, услуг по году  начала закупки</t>
  </si>
  <si>
    <t>1.7</t>
  </si>
  <si>
    <t>Обучение по контрактной системе в сфере закупок для гос. и муниципальных нужд</t>
  </si>
  <si>
    <t>Приобретение военной формы</t>
  </si>
  <si>
    <t>808 0801 02 3 02 00000 244 222</t>
  </si>
  <si>
    <t>808 0801 02 3 02 00000 244 310</t>
  </si>
  <si>
    <t>808 0000 00 0 00 00000 440</t>
  </si>
  <si>
    <t>Вагонка</t>
  </si>
  <si>
    <t>приобретение георгиевской ленточки</t>
  </si>
  <si>
    <t>30</t>
  </si>
  <si>
    <t>брусок 40*20</t>
  </si>
  <si>
    <t>брусок 40*40</t>
  </si>
  <si>
    <t>брусок 50*50</t>
  </si>
  <si>
    <t>брусок 30*30</t>
  </si>
  <si>
    <t>ОСП  - 3 Калевала</t>
  </si>
  <si>
    <t>труба 40*20</t>
  </si>
  <si>
    <t xml:space="preserve">эмаль </t>
  </si>
  <si>
    <t>баннер ламинированный</t>
  </si>
  <si>
    <t>12,22</t>
  </si>
  <si>
    <t>7,55</t>
  </si>
  <si>
    <t xml:space="preserve">баннер литой </t>
  </si>
  <si>
    <t xml:space="preserve">шуруп </t>
  </si>
  <si>
    <t xml:space="preserve">электроды </t>
  </si>
  <si>
    <t xml:space="preserve">цепи на пилу штиль </t>
  </si>
  <si>
    <t>проволока</t>
  </si>
  <si>
    <t>скобы для степлера</t>
  </si>
  <si>
    <t xml:space="preserve">степлер барс </t>
  </si>
  <si>
    <t xml:space="preserve">бита </t>
  </si>
  <si>
    <t xml:space="preserve">полотна для эл.лобзика </t>
  </si>
  <si>
    <t xml:space="preserve">круги отрезные </t>
  </si>
  <si>
    <t>6.5.1.</t>
  </si>
  <si>
    <t>8080000 00 0 00 00000140</t>
  </si>
  <si>
    <t>на 2019 год (и плановый период 2020-2021 годов)</t>
  </si>
  <si>
    <r>
      <t xml:space="preserve">ВСЕГО 
очередной год 
</t>
    </r>
    <r>
      <rPr>
        <b/>
        <sz val="10"/>
        <rFont val="Times New Roman"/>
        <family val="1"/>
      </rPr>
      <t>2019</t>
    </r>
  </si>
  <si>
    <r>
      <t xml:space="preserve">ВСЕГО,
1-й год планового периода
</t>
    </r>
    <r>
      <rPr>
        <b/>
        <sz val="10"/>
        <rFont val="Times New Roman"/>
        <family val="1"/>
      </rPr>
      <t>2020</t>
    </r>
  </si>
  <si>
    <r>
      <t xml:space="preserve">ВСЕГО,
2-й год планового периода
</t>
    </r>
    <r>
      <rPr>
        <b/>
        <sz val="10"/>
        <rFont val="Times New Roman"/>
        <family val="1"/>
      </rPr>
      <t>2021</t>
    </r>
  </si>
  <si>
    <t>на 2019 год очередной финансовый год</t>
  </si>
  <si>
    <t>на 2021 год     2-ой год планового периода</t>
  </si>
  <si>
    <t>Раздел 5. Показатели выплат по расходам на закупку товаров, работ, услуг учреждения на 2019-2021 г.</t>
  </si>
  <si>
    <r>
      <t xml:space="preserve">          </t>
    </r>
    <r>
      <rPr>
        <b/>
        <sz val="11"/>
        <color indexed="63"/>
        <rFont val="Times New Roman"/>
        <family val="1"/>
      </rPr>
      <t>Раздел 6. Сведения о средствах, поступающих во временное распоряжение учреждения</t>
    </r>
    <r>
      <rPr>
        <sz val="11"/>
        <color indexed="63"/>
        <rFont val="Times New Roman"/>
        <family val="1"/>
      </rPr>
      <t xml:space="preserve"> на 2019 год</t>
    </r>
  </si>
  <si>
    <t>Расшифровка видов выплат к плану финансово-хозяйственной деятельности на 2020-2021 годы</t>
  </si>
  <si>
    <t>ВСЕГО 2020 г.</t>
  </si>
  <si>
    <t>ВСЕГО 2021г.</t>
  </si>
  <si>
    <t>Охрана</t>
  </si>
  <si>
    <t>сумма</t>
  </si>
  <si>
    <t>всего 
2019 год</t>
  </si>
  <si>
    <t>2021 год</t>
  </si>
  <si>
    <t>808 0801 02 3 01 S1650 111 211</t>
  </si>
  <si>
    <t>808 0801 02 3 01 S1650 119 213</t>
  </si>
  <si>
    <t>Итого за счет средств субсидии из городского бюджета:</t>
  </si>
  <si>
    <t>Итого за счет средств субсидии из областного бюджета:</t>
  </si>
  <si>
    <t>Исполнитель</t>
  </si>
  <si>
    <t>808 0801 02 3 01 00110 111 211</t>
  </si>
  <si>
    <t>346</t>
  </si>
  <si>
    <t>343</t>
  </si>
  <si>
    <t>349</t>
  </si>
  <si>
    <t>Социальные и несоциальные пособия и компенсации персоналу, иные выплаты населению, всего</t>
  </si>
  <si>
    <t>пособия по уходу за ребенком до 3-х лет.</t>
  </si>
  <si>
    <t>пособия по б/л за первые 3-и дня</t>
  </si>
  <si>
    <t>суточные в командировки</t>
  </si>
  <si>
    <t>5.2</t>
  </si>
  <si>
    <t>5.3</t>
  </si>
  <si>
    <t>Поверка средств измерений</t>
  </si>
  <si>
    <t>Учтено в плане ФХД с учетом округления, руб.</t>
  </si>
  <si>
    <t>Субсидия на финансовое обеспечение выполнения муниципального задания</t>
  </si>
  <si>
    <t>приносящая доход деятельность учреждения</t>
  </si>
  <si>
    <t>Стоимость за месяц, с учетом НДС, руб.</t>
  </si>
  <si>
    <t>Сумма, с учетом НДС, руб. ( гр. 4 х гр. 5)</t>
  </si>
  <si>
    <t xml:space="preserve">Итого </t>
  </si>
  <si>
    <t>Местные соединения (безлимит)</t>
  </si>
  <si>
    <t>Внутризоновые соединения</t>
  </si>
  <si>
    <t>Услуги междугородней связи</t>
  </si>
  <si>
    <t>Услуги ADSL</t>
  </si>
  <si>
    <t>Сервисные услуги</t>
  </si>
  <si>
    <t>Договор № 235000011398 об оказании услуг связи  ОАО "Ростелеком" (единственный поставщик)</t>
  </si>
  <si>
    <t>Другие услуги местной телефонной связи ГТС</t>
  </si>
  <si>
    <t>Договор № МГ-682/20079729 об оказании услуг связи "ЗЭТ- Телеком"         (ком предл. ООО "ЗЭТ-Телеком Северо-Запад",  АО "Северен-Телеком")</t>
  </si>
  <si>
    <t>Приносящая доход деятельность учреждения</t>
  </si>
  <si>
    <t>Количество услуг перевозки час., усл.</t>
  </si>
  <si>
    <t xml:space="preserve">Транспортные услуги для перевозки оборудования, баннеров, декораций, аппаратуры. </t>
  </si>
  <si>
    <t>Заправка и ремонт офисной техники</t>
  </si>
  <si>
    <t>Договор МУП "Водоканал"</t>
  </si>
  <si>
    <t>4 МТК в парке КиО, 3 МТК в парке 200-летия</t>
  </si>
  <si>
    <t>Коммерческие предложения ООО "Экосервис 35", ООО "Лайна, ИП Галочкин С.Б. Обслуживание МТК в парке КиО -72 раза, в парке 200-летия 63 раза</t>
  </si>
  <si>
    <t>Коммерческие предложения ООО "Природоохранный центр-Групп" , ООО "ГринТЭК", ООО "Промсервис"</t>
  </si>
  <si>
    <t>Коммерческие предложениям ООО НПК "Аплэйк", ООО "Огнезащита", ООО "ПожСервис"</t>
  </si>
  <si>
    <t xml:space="preserve">Техническое обслуживание теплового пункта, </t>
  </si>
  <si>
    <t>Коммерческие предложения ИП Иванов В.В., ООО "ТВС"</t>
  </si>
  <si>
    <t>Договор ФБУ "Государственный региональный центр стандартизации, метрологии и испытаний в г. Череповце Вологодской области"</t>
  </si>
  <si>
    <t>по заявке учреждения</t>
  </si>
  <si>
    <t>Техническое обслуживание систем ГО и ЧС.</t>
  </si>
  <si>
    <t xml:space="preserve">Коммерческие предложения ООО "Сонет",  ООО "Грани безопасности", ООО "Служба мониторинго-Череповец" ДМиК-12 месяцев, Парк КиО -12 месяцев </t>
  </si>
  <si>
    <t>1 раз в месяц</t>
  </si>
  <si>
    <t>Здание Дом музыки и кино,ул. Горького, 22А</t>
  </si>
  <si>
    <t>Расходы на командировку- суточные</t>
  </si>
  <si>
    <t>Пособие по б/л за первые 3 дня</t>
  </si>
  <si>
    <t>Коммерческие предложения ООО НПК "Аплэйк", ООО "Огнезащита". Услуга распростараняется на 12 кранов 2 раза в год</t>
  </si>
  <si>
    <t>Коммерческие предложения ООО "Пожарная охрана ВОО ВДПО" и РОУПО "Добровольная пожарная дружина ВО".</t>
  </si>
  <si>
    <t>Услуга разовая, ремонт проводиться будет в течении года</t>
  </si>
  <si>
    <t xml:space="preserve">Коммерческие предложениям ООО "ТД "Электроматериал") и ЗАО "Электротехснаб" </t>
  </si>
  <si>
    <t>Услуги охраны, обеспечение безопасности, услуги по контролю объектов.</t>
  </si>
  <si>
    <t xml:space="preserve">20 договоров </t>
  </si>
  <si>
    <t>Оказание услуг по ведению экономического учета</t>
  </si>
  <si>
    <t>Услуги по ведению экономического учета</t>
  </si>
  <si>
    <t>Договор с МУК "ЦОУ "Культура"</t>
  </si>
  <si>
    <t>Водоснабжение, водоотведение.</t>
  </si>
  <si>
    <t>Коммерческие предложениям БУЗ ВО "Череповецкая городская поликлинника №1", МЦ "Лекарь".</t>
  </si>
  <si>
    <t>Коммерческие предложения ЧОУ ДПО "Вологодский учебный центр", АНО ДПО "УЦ "Фаворит"  Обучение 2-х сотрудников</t>
  </si>
  <si>
    <t>112 Социальные и несоциальные пособия и компенсации персоналу, иные выплаты населению</t>
  </si>
  <si>
    <t>Прокатная плата  за показ фильмов</t>
  </si>
  <si>
    <t>Коммерческие предложения ЧОУ ДПО "Вологодский учебный центр", АНО ДПО "УЦ "Фаворит",  НЧОУДПО «Учебный центр «Экоконсалт» Обучение 6-ти сотрудников</t>
  </si>
  <si>
    <t>Услуги по монтажу/демонтажу баннерных плакатов</t>
  </si>
  <si>
    <t>Договор с ООО "Газпром теплоэнерго Вологда"</t>
  </si>
  <si>
    <t>Договор с ООО "Вологодская сбытовая компания", МУП "Электросеть"</t>
  </si>
  <si>
    <t>Договор с МУП "Водоканал"</t>
  </si>
  <si>
    <t>Учтено в ПФХД с учетом округления</t>
  </si>
  <si>
    <t>субсидия на финансовое обеспечение выполнения муниципального задания  из местного бюджета</t>
  </si>
  <si>
    <t>поступления от оказания услуг (выполнения работ) на платной основе и от иной приносящей доход деятельности</t>
  </si>
  <si>
    <t>Итого</t>
  </si>
  <si>
    <t>Прочие платежи (Оплата госпошлины)</t>
  </si>
  <si>
    <t xml:space="preserve"> Уплата земельного налога</t>
  </si>
  <si>
    <t>Уплата налога на имущество</t>
  </si>
  <si>
    <t xml:space="preserve"> Расходы на закупку товаров, работ, услуг, всего</t>
  </si>
  <si>
    <t>6.1.1.</t>
  </si>
  <si>
    <t>6.1.2.</t>
  </si>
  <si>
    <t>6.2.</t>
  </si>
  <si>
    <t>6.2.1.</t>
  </si>
  <si>
    <t>Социальные и несоциальные пособия и компенсации персоналу, иные выплаты населению, всего, в т.ч.</t>
  </si>
  <si>
    <t xml:space="preserve">Безвозмездные перечисления организациям </t>
  </si>
  <si>
    <t>Прочие расходы (кроме расходов на закупку товаров, работ, услуг), всего</t>
  </si>
  <si>
    <t>6.3.</t>
  </si>
  <si>
    <t>6.3.1.</t>
  </si>
  <si>
    <t>6.3.2.</t>
  </si>
  <si>
    <t>6.4.</t>
  </si>
  <si>
    <t>6.4.1.</t>
  </si>
  <si>
    <t>6.3.3.</t>
  </si>
  <si>
    <t>6.5.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</si>
  <si>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</si>
  <si>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</si>
  <si>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</si>
  <si>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</si>
  <si>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</si>
  <si>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</si>
  <si>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</si>
  <si>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</si>
  <si>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</si>
  <si>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6.5.11.</t>
  </si>
  <si>
    <t>6.5.12.</t>
  </si>
  <si>
    <t>6.5.13.</t>
  </si>
  <si>
    <t>6.5.14.</t>
  </si>
  <si>
    <t>6.5.15.</t>
  </si>
  <si>
    <t>6.5.16.</t>
  </si>
  <si>
    <t>6.5.17.</t>
  </si>
  <si>
    <t>6.5.18.</t>
  </si>
  <si>
    <t>6.6.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</si>
  <si>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</si>
  <si>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</si>
  <si>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</si>
  <si>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</si>
  <si>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</si>
  <si>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</si>
  <si>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</si>
  <si>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</si>
  <si>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6.6.9.</t>
  </si>
  <si>
    <t>6.6.11.</t>
  </si>
  <si>
    <t>6.6.12.</t>
  </si>
  <si>
    <t>6.7.</t>
  </si>
  <si>
    <t>229</t>
  </si>
  <si>
    <t>Арендная плата за пользование земельными участками, всего</t>
  </si>
  <si>
    <t>6.7.1.</t>
  </si>
  <si>
    <t>Плата за земельный участок (Горького, 22А)</t>
  </si>
  <si>
    <t>6.7. Расчеты (обоснования) расходов на арендную плату за пользование земельными участками</t>
  </si>
  <si>
    <t>Расчет арендной платы за пользование земельным участком по адресу: Горького, 22 А</t>
  </si>
  <si>
    <t>Общая сумма выплат, руб.  (гр. 3 х гр. 4 )</t>
  </si>
  <si>
    <t>6.8.</t>
  </si>
  <si>
    <t>6.8.1.</t>
  </si>
  <si>
    <t>6.8.2.</t>
  </si>
  <si>
    <t>Приобретение бензина, литр</t>
  </si>
  <si>
    <t xml:space="preserve">цена  с сайтов  SHELL (ШЕЛЛ) АЗС №1134, РосНефть, ГазПромНефть </t>
  </si>
  <si>
    <t xml:space="preserve">Субсидия, предоставляемая в соответствии с абз.2 п.1 ст. 78.1 БК РФ, Приносящая доход деятельность учреждения </t>
  </si>
  <si>
    <t xml:space="preserve">за счет средств субсидии, предоставляемой в соответствии с абз.2 п.1 ст. 78.1 БК РФ, Приносящая доход деятельность учреждения </t>
  </si>
  <si>
    <t>за счет средств субсидии, предоставляемой в соответствии с абз.2 п.1 ст. 78.1 БК РФ</t>
  </si>
  <si>
    <t>6.6.10</t>
  </si>
  <si>
    <t>Приобретение бланков строгой отчетности (билетов)</t>
  </si>
  <si>
    <t>Изготовление  грамот и сертификатов, благодарственных писем, пригласительных билетов</t>
  </si>
  <si>
    <t>6.8.1.1.</t>
  </si>
  <si>
    <t>6.8.1.2</t>
  </si>
  <si>
    <t>6.8.1.3</t>
  </si>
  <si>
    <t>244  "Прочая закупка товаров, работ и услуг для обеспечения государственных (муниципальных) нужд"</t>
  </si>
  <si>
    <t xml:space="preserve"> поступления от оказания услуг (выполнения работ) на платной основе и от иной приносящей доход деятельности</t>
  </si>
  <si>
    <t>Сумма, с учетом НДС, руб.</t>
  </si>
  <si>
    <t>Обоснования цены
ед. товара, работы, услуги
(наименование документа, реквизиты)</t>
  </si>
  <si>
    <t>223-ФЗ</t>
  </si>
  <si>
    <t>44-ФЗ</t>
  </si>
  <si>
    <t xml:space="preserve"> Костюмы сценические</t>
  </si>
  <si>
    <t xml:space="preserve"> Хозинвентарь (зеркала, утюги, чайники, скамейки, огнетушители, сантехническое оборудование) </t>
  </si>
  <si>
    <t xml:space="preserve"> Машины и оборудование (звуковой аппаратуры, оргтехники. компьютерное оборудование)</t>
  </si>
  <si>
    <t>Машины и оборудование (звуковой аппаратуры, оргтехники. компьютерное оборудование)</t>
  </si>
  <si>
    <t xml:space="preserve">Коммерческие предложения ООО "ТДА 35, ООО "А.Р.Т. Электроникс", ООО "АКТИОН 35". </t>
  </si>
  <si>
    <t>Приобретение комплектующих к ПК, электротоваров и пр.</t>
  </si>
  <si>
    <t>808 0801 02 3 02 00000 244 346</t>
  </si>
  <si>
    <t>808 0801 02 3 02 00000 244 349</t>
  </si>
  <si>
    <t>244 226</t>
  </si>
  <si>
    <t>244 229</t>
  </si>
  <si>
    <t>Уплата налогов, сборов и иных платежей</t>
  </si>
  <si>
    <t>проезд и проживание в командировке</t>
  </si>
  <si>
    <t>Уплата госпошлины</t>
  </si>
  <si>
    <t>Расходы на закупку товаров, работ, услуг, всего</t>
  </si>
  <si>
    <t>6.1.</t>
  </si>
  <si>
    <t>6.8.2.1.</t>
  </si>
  <si>
    <t>6.8.2.2.</t>
  </si>
  <si>
    <t>6.8.2.3.</t>
  </si>
  <si>
    <t>6.8.2.4.</t>
  </si>
  <si>
    <t>6.8.2.5</t>
  </si>
  <si>
    <t>6.8.2.6.</t>
  </si>
  <si>
    <t>6.8.2.7.</t>
  </si>
  <si>
    <t>6.8.2.8.</t>
  </si>
  <si>
    <t>6.8.2.9.</t>
  </si>
  <si>
    <t>6.8.2.10.</t>
  </si>
  <si>
    <t>6.8.2.11.</t>
  </si>
  <si>
    <t>6.8.2.12.</t>
  </si>
  <si>
    <t>Приобретение косплектующих к ПК, электротоваров и пр.</t>
  </si>
  <si>
    <r>
      <t xml:space="preserve">Увеличение стоимости материальных запасов </t>
    </r>
    <r>
      <rPr>
        <i/>
        <sz val="10"/>
        <rFont val="Times New Roman"/>
        <family val="1"/>
      </rPr>
      <t>в том числе</t>
    </r>
  </si>
  <si>
    <t>М.В.Чернова</t>
  </si>
  <si>
    <t>Зарядка огнетушителей и замена пломбы</t>
  </si>
  <si>
    <t>Техническое обслуживание теплового пункта.</t>
  </si>
  <si>
    <t>Саморез ГД</t>
  </si>
  <si>
    <t>Пленка самоклейка</t>
  </si>
  <si>
    <t>Заработная плата городской бюджет</t>
  </si>
  <si>
    <t>Начисления на выплаты по оплате труда городской бюджет</t>
  </si>
  <si>
    <t>Начисления на выплаты по оплате труда областной бюджет</t>
  </si>
  <si>
    <t>ПЛАНОВЫЕ ПОКАЗАТЕЛИ по доходам и расходам на 2019-2021 г.г.</t>
  </si>
  <si>
    <t>1. Раздел "Остаток на 01.01.2019"</t>
  </si>
  <si>
    <t>0705</t>
  </si>
  <si>
    <t>** В связи с выделением ЛБО на 2019 год в размере    руб. по субсидии на финансовое обеспечение выполнения муниципального задания, страховые взносы в ФСС на обязательное социальное страхование на случай временной нетрудоспособности и в связи с материнством увеличена на сумму   руб.( с базы   руб) с одновременным уменьшением суммы страховых взносов за счет средств ПДД</t>
  </si>
  <si>
    <t xml:space="preserve">Тариф, утвержденный решением годового Общего собрания членов Ассоциации нотариусов "Нотариальная палата Вологодской области" от 16.04.2016. 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</si>
  <si>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</si>
  <si>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</si>
  <si>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</si>
  <si>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</si>
  <si>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</si>
  <si>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</si>
  <si>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</si>
  <si>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</si>
  <si>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</si>
  <si>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Приобрнтение (изготовление баннеров)</t>
  </si>
  <si>
    <t xml:space="preserve">2. Расчеты (обоснования) выплат персоналу </t>
  </si>
  <si>
    <t xml:space="preserve">1.2. Расчеты (обоснования) страховых взносов на обязательное страхование в Пенсионный фонд  Российской Федерации, в Фонд социального страхования Российской Федерации, в Федеральный фонд обязательного медицинского страхования </t>
  </si>
  <si>
    <t>6.8.2. Расчет (обоснование) расходов на увеличение стоимости горюче-смазочных материалов</t>
  </si>
  <si>
    <t>6.8.2. Расчет (обоснование) расходов на увеличение стоимости прочих оборотных запасов (материалов)</t>
  </si>
  <si>
    <t>6.8.2.Расчет (обоснование) расходов на увеличение стоимости прочих материальных запасов однократного применения</t>
  </si>
  <si>
    <t>6.8.1. Расчет расходов на приобретение основных средств</t>
  </si>
  <si>
    <t xml:space="preserve">Коммерческие предложения ИП Марченко А.В.,  ООО "АРС-СТУДИЯ", ООО "БизнесПРО", ООО "БИГАМ-Инвест",  ООО "Перский", ООО "Эльдорадо". </t>
  </si>
  <si>
    <t xml:space="preserve"> Коммерческие предложения ИП Федотенков А.И., ИП Харшин А.А.,е ООО "ВЕГАС+", ООО "ТД "Электроматериалы", ООО "Спорттовары". </t>
  </si>
  <si>
    <t>План финансово - хозяйственной деятельности</t>
  </si>
  <si>
    <t>субсидия на финансовое обеспечение выполнения муниципального задания из местного и областного бюджетов</t>
  </si>
  <si>
    <t>Коммерческие предложения ИП Евстигнеев И.Б., ООО "Доступный дом".</t>
  </si>
  <si>
    <t>Заместитель директора по основной деятельности</t>
  </si>
  <si>
    <t>Заведующий отделом (центра досуга ветеранов)</t>
  </si>
  <si>
    <t>Юрисконсульт</t>
  </si>
  <si>
    <t>Видеоинженер</t>
  </si>
  <si>
    <t>ООО "Молот", ИП Маторин, ИП Вихарев, скриншоты</t>
  </si>
  <si>
    <t xml:space="preserve"> Коммерческие предложение ИП Ознобихина Ю.Н., ИП Михайлов А.Г., скриншоты.</t>
  </si>
  <si>
    <t>ООО "Молот", ИП Маторин, ИП Вихарев, ИП Васильев Н.М.,скриншоты</t>
  </si>
  <si>
    <t>Коммерческие предложения ИП Никитинский С.Н., ИП Кулиганов Д.А., ИП Смирнов А.Г., ИП Ромицын Д.Л., ООО "Колумб", ООО "Трансавтотур"</t>
  </si>
  <si>
    <t>Коммерческие предложения ООО "РС - Печатаем, ИП Анишина И.Н., ООО "Квадрат".</t>
  </si>
  <si>
    <t>Коммерческие предложения ООО "Издательский дом "Череповец", ООО "Издательский дом "Принт", ООО "Издательский дом "Про"</t>
  </si>
  <si>
    <t xml:space="preserve"> Коммерческие предложение ИП Ознобихина Ю.Н., ИП Михайлов, скриншоты </t>
  </si>
  <si>
    <t>808 0801 02 3 01 00110 111 266</t>
  </si>
  <si>
    <t>808 0801 02 3 01 00110 119 213</t>
  </si>
  <si>
    <t>808 0801 02 3 01 00110112 266</t>
  </si>
  <si>
    <t>808 0801 02 3 01 00110 112 212</t>
  </si>
  <si>
    <t>808 0801 02 3 01 00110 112 226</t>
  </si>
  <si>
    <t>808 0801 02 3 01 00110 851 291</t>
  </si>
  <si>
    <t>808 0801 02 3 01 00110 852 291</t>
  </si>
  <si>
    <t>808 0801 02 3 01 00110 244 226</t>
  </si>
  <si>
    <t>809 0801 24 1 05 00110 244 226</t>
  </si>
  <si>
    <t>808 0705 02 3 01 00110244 226</t>
  </si>
  <si>
    <t>808 0801 02 3 01 00110244 229</t>
  </si>
  <si>
    <t>808 0801 02 3 03 00110 244 310</t>
  </si>
  <si>
    <t>808 0801 02 3 01 00110 244 310</t>
  </si>
  <si>
    <t>808 0801 02 3 01 00110 244 225</t>
  </si>
  <si>
    <t>808 0801 02 3 01 00110 244 224</t>
  </si>
  <si>
    <t>808 0801 02 3 01 00110 244 223</t>
  </si>
  <si>
    <t>808 0801 02 3 01 00110 244 222</t>
  </si>
  <si>
    <t>808 0801 02 3 01 00110 244 221</t>
  </si>
  <si>
    <t>Заработная плата областной бюджет</t>
  </si>
  <si>
    <t>808 0801 02 3 01 00110 244 343</t>
  </si>
  <si>
    <t>808 0801 02 3 01 00110 244 346</t>
  </si>
  <si>
    <t>808 0801 02 3 01 00110 244 349</t>
  </si>
  <si>
    <t>0230100110</t>
  </si>
  <si>
    <t>0230300110</t>
  </si>
  <si>
    <t>Приобретение (изготовление) баннеров</t>
  </si>
  <si>
    <t>6.6.13.</t>
  </si>
  <si>
    <t>Пусконаладочные работы Лицензия ПО «Кинокасса</t>
  </si>
  <si>
    <t xml:space="preserve"> Договор № 32/2019 от 14.01.2019 ООО "Киноплан"</t>
  </si>
  <si>
    <t>6.6.14.</t>
  </si>
  <si>
    <t>Услуги по проведению концертной программы</t>
  </si>
  <si>
    <t xml:space="preserve">Коммерческие предложения ЧОУ ДПО "Вологодский учебный центр", АНО ДПО "УЦ "Фаворит", НЧОУДПО «Учебный центр «Экоконсалт»  </t>
  </si>
  <si>
    <t>Пусконаладочные работы Лицензия ПО "Кинокасса"</t>
  </si>
  <si>
    <t>6.6.15.</t>
  </si>
  <si>
    <t>Вознаграждение за публичный показ фильмов.</t>
  </si>
  <si>
    <t>Арендная плата за пользование имуществом.</t>
  </si>
  <si>
    <t>5 договоров</t>
  </si>
  <si>
    <t xml:space="preserve">ДГПХ с юридическими и физ. лицами </t>
  </si>
  <si>
    <t>Аренда контейнера по договору с ООО "Чистый След"</t>
  </si>
  <si>
    <t>6.6.16.</t>
  </si>
  <si>
    <t>Услуги эквайринга</t>
  </si>
  <si>
    <t>6.6.17.</t>
  </si>
  <si>
    <t>Услуги оценщика</t>
  </si>
  <si>
    <t xml:space="preserve"> Хозинвентарь (зеркала, утюги, чайники, скамейки, огнетушители, сантехническое оборудование и пр.) </t>
  </si>
  <si>
    <t xml:space="preserve">Приобретение канцтоваров. (бумага А4, ручки, папки, скрепки, файлы и пр.) </t>
  </si>
  <si>
    <t>на 2021 год                2-ой год планового периода</t>
  </si>
  <si>
    <t>на 2020 год                  1-ый год планового периода</t>
  </si>
  <si>
    <t>на 2021 год                       2-ой год планового периода</t>
  </si>
  <si>
    <t>на 2020 год                    1-ый год планового периода</t>
  </si>
  <si>
    <t>С.В. Волохова</t>
  </si>
  <si>
    <t>Договор № 19-5 от 09.01.2019 ООО "Издательский дом "Череповец"</t>
  </si>
  <si>
    <t>Договор оказания услуг№ 19-21 от 01.01.2019 ООО "Оптима групп"</t>
  </si>
  <si>
    <t>Договор на выполнение работ № 65У/19-4 от 01.01.2019 ООО "АКТИОН 35"</t>
  </si>
  <si>
    <t>Договор №898/3607 от 12.01.2019.</t>
  </si>
  <si>
    <t>Договор № СМ 56/19/19-8 от 01.01.2019 ООО "СТМ"</t>
  </si>
  <si>
    <t xml:space="preserve"> Хозинвентарь (контейнер для отходов) </t>
  </si>
  <si>
    <t>Договор №18-518 от 31.12.2018 ООО "Чистый след"</t>
  </si>
  <si>
    <t>6.5.19.</t>
  </si>
  <si>
    <t>Очистка кровли от наледи и снега</t>
  </si>
  <si>
    <t>Здание Дом музыки и кино, М.Горького 22а</t>
  </si>
  <si>
    <t>Согласно тарифам ФГУП "Почта России" Договор № 39145 на оказание услуг почтовой связи с ФГУП "Почта России"</t>
  </si>
  <si>
    <t>услуги почтовой связи</t>
  </si>
  <si>
    <t>франкировка</t>
  </si>
  <si>
    <t>6.8.2.13.</t>
  </si>
  <si>
    <t>345</t>
  </si>
  <si>
    <t>Увеличение стоимости мягкого инвентаря</t>
  </si>
  <si>
    <t>Приобретение средств бытовой химии и средств индивидуальной защиты</t>
  </si>
  <si>
    <t>Договор поставки №2 от 09.01.2019 (Коммерческие предложения ООО "БиН", ООО "Альтернатива, ООО "БиН-Регион")</t>
  </si>
  <si>
    <t>Приобретение зимней куртки</t>
  </si>
  <si>
    <t>Приобретение брюк зимних</t>
  </si>
  <si>
    <t>Ботинки зимние</t>
  </si>
  <si>
    <t>Костюм "Техник"</t>
  </si>
  <si>
    <t xml:space="preserve"> Хозинвентарь (сейф офисный) </t>
  </si>
  <si>
    <t>Договор №2 от 17.01.2019 ООО Торговый центр"Виста"(Коммерческие предложение ООО ТЦ "Виста", ООО "Перспектива"</t>
  </si>
  <si>
    <t>Накопитель 16Gb SmartBuy Crown W</t>
  </si>
  <si>
    <t>808 0801 02 3 01 00110 244 345</t>
  </si>
  <si>
    <t xml:space="preserve">Коммерческие предложения ЗАО "ФАРМ", ООО "Канцерна",  ООО "Секретарь-Р",    ООО "Тайм-Офис", ООО "Технология Закупок", Коммерческие предложение ООО ТЦ "Виста", ООО "Перспектива </t>
  </si>
  <si>
    <t>Договор № 190105К0005 от 11.12.2018 ООО "Энтиком-Инвест".</t>
  </si>
  <si>
    <t>Шнур с фильтрами</t>
  </si>
  <si>
    <t>Договор поставки № 28-01/2019 от 28.01.2019 г. ООО "Битрейд"</t>
  </si>
  <si>
    <t>Коммерческие предложения ООО "БиН", ООО "Альтернатива, ООО "БиН-Регион"</t>
  </si>
  <si>
    <t>Приобретение средств бытовой химии и средств индивидуальной защиты (счет № 75 от 01.01.19 пакеты, мыло жидкое)</t>
  </si>
  <si>
    <t>Договор № 1330 от 11.02.2019 с МУП города Череповца  "Водоканал"</t>
  </si>
  <si>
    <t>Договор с ООО "Вологодская сбытовая компания", Договор № 1898П от 11.02.2019 МУП города Череповца"Электросеть"</t>
  </si>
  <si>
    <t>Договор № 21079729 от 01.01.2019 об оказании услуг связи "ЗЭТ- Телеком Северо-Запад" (ком предл. ООО "ЗЭТ-Телеком Северо-Запад",  АО "Северен-Телеком". Метод сопоставимых рыночных цен)</t>
  </si>
  <si>
    <t>Договор на оказание услуг № 55 8638/ Ч1187 от 01.02.2019 ПАО "Сбербанк России"</t>
  </si>
  <si>
    <t xml:space="preserve">Договор № 17/19, № 21/19  от 01.01.2019 ООО "Сонет" Коммерческие предложения ООО "Сонет",  ООО "Грани безопасности", ООО "Служба мониторинга-Череповец" ДМиК-12 месяцев, Парк КиО -12 месяцев </t>
  </si>
  <si>
    <t>3 договора</t>
  </si>
  <si>
    <t>Радиотелефон Panasonic</t>
  </si>
  <si>
    <t>Договор №2 от 17.01.2019 ООО Торговый центр"Виста"(Коммерческие предложение ООО ТЦ "Виста", ООО "Перспектива")</t>
  </si>
  <si>
    <t>Договор № 05 от 07.02.2019 ООО "Актион 35"(Коммерческие предложение скриншоты: www.computer34.ru, https://cher.nix.ru)</t>
  </si>
  <si>
    <t>Договор № 38 ООО "АПЛЭЙК" на 2019 г.(Коммерческие предложениям ООО НПК "Аплэйк", ООО "Огнезащита", ООО "ПожСервис")</t>
  </si>
  <si>
    <t>Договор № 21-Р от 04.02.2019 ФБУЗ "Центр гигиены и эпидемиологии в Вологодской области"</t>
  </si>
  <si>
    <t xml:space="preserve">Итого за счет средств субсидии, предоставляемой в соответствии с абз.2 п.1 ст. 78.1 БК РФ </t>
  </si>
  <si>
    <t>Участие в семинарах</t>
  </si>
  <si>
    <t>Договор от 21.02.2019 БУК ВО "Центр народной культуры"</t>
  </si>
  <si>
    <t>2 договора</t>
  </si>
  <si>
    <t>ДГПХ с физ. лицами</t>
  </si>
  <si>
    <t>6.3.4.</t>
  </si>
  <si>
    <t>Сбор, транспортировка и обработка ТБО</t>
  </si>
  <si>
    <t>Договоры ГПХ с физ.лицами ( № 19-37 от 09.01.2019)</t>
  </si>
  <si>
    <t>Обслуживание сайта</t>
  </si>
  <si>
    <t>11 договор</t>
  </si>
  <si>
    <t xml:space="preserve">ДГПХ с  физ. лицами </t>
  </si>
  <si>
    <t>ДМиК-12 месяцев, Парк 200-летия -6 месяцев (рабочий период парка)</t>
  </si>
  <si>
    <t xml:space="preserve">Техническое обслуживание КТС </t>
  </si>
  <si>
    <t>Обращение с твердыми коммунальными отходами</t>
  </si>
  <si>
    <t>Обращение с твердыми коммун. отходами</t>
  </si>
  <si>
    <t>6.5.20.</t>
  </si>
  <si>
    <t>***</t>
  </si>
  <si>
    <t xml:space="preserve">Транспортные услуги для перевозки оборудования, баннеров, декораций, аппаратуры, артистов. </t>
  </si>
  <si>
    <t>Договор № К01/19.02.19 от 04.03.2019 ИП Толоконцев А.О., договор №19-131 от 05.03.2019 ИП Чиж А.С.</t>
  </si>
  <si>
    <t>Изготовление   благодарственных писем</t>
  </si>
  <si>
    <t>12 договоров</t>
  </si>
  <si>
    <t>Договор поставки № 2 от 09.01.2019, счет № 635 от 01.03.19 (Коммерческие предложения ООО "БиН", ООО "Альтернатива, ООО "БиН-Регион")</t>
  </si>
  <si>
    <t>Строительные материалы:</t>
  </si>
  <si>
    <t>Прочие материалы:</t>
  </si>
  <si>
    <t>1.23.</t>
  </si>
  <si>
    <t>6.8.2.14.</t>
  </si>
  <si>
    <t>Увеличение стоимости строительных материалов.</t>
  </si>
  <si>
    <t>"_________" _____________________2019</t>
  </si>
  <si>
    <t>Налог на имущество - остаток на 01.01.2019</t>
  </si>
  <si>
    <t>Приобретение цветов</t>
  </si>
  <si>
    <t>Договор № 22/19/10 от 22.03.2019 ИП Ермушов С.Г.</t>
  </si>
  <si>
    <t>Изготовление  грамот и сертификатов, благодарственных писем, пригласительных билетов, цветов</t>
  </si>
  <si>
    <t>6.5.21.</t>
  </si>
  <si>
    <t>Работы по ревизии канализации стационарного туалета</t>
  </si>
  <si>
    <t>Работы по ревизии канализации стационарного туалета в парке КИО</t>
  </si>
  <si>
    <t xml:space="preserve"> парк КиО</t>
  </si>
  <si>
    <t>Прочие платежи (денежные взыскания (штрафы) и иные суммы в возмещение ущерба)</t>
  </si>
  <si>
    <t>3.4</t>
  </si>
  <si>
    <t>851, 852, 853 Уплата налогов, сборов и иных платежей</t>
  </si>
  <si>
    <t>808 0801 02 3 01 00110 853 295</t>
  </si>
  <si>
    <t>Коммерческие предложения МУП "Водоканал" от 07.03.2019 № 20-04/1940</t>
  </si>
  <si>
    <t>Договор № 82 от 12.03.2019 Городишенин А.В; договор № 89 от 02.04.2019 Городишенин А.В (Коммерческие предложения ИП Городишенин А.В., ООО "Скиф"ООО "Монтаж-Электро 1"</t>
  </si>
  <si>
    <t>3.5</t>
  </si>
  <si>
    <t>Штрафы за нарушение законодательства о налогах и сборах, законодательства о страховых взносах</t>
  </si>
  <si>
    <t>808 0801 02 3 01 00110 853 292</t>
  </si>
  <si>
    <t>Договор № 2 от 17.01.2019, № М/1199 от 08.04.2019 ООО Торговый центр"Виста"(Коммерческие предложение ООО ТЦ "Виста", ООО "Перспектива")</t>
  </si>
  <si>
    <t>Приобретение канцтоваров (счет № 109 от 17/01/2019, счет № 1425 от 08.04.2019)</t>
  </si>
  <si>
    <t>Колонки</t>
  </si>
  <si>
    <t>Договор № 15 от 10.04.2019 ООО "Актион 35"(Коммерческие предложение: ООО "Актион 35", ООО "ТДА 35", ООО "А.Р.Т. Электроникс")</t>
  </si>
  <si>
    <t>Договор № АС-11/18 от 29.03.2019 ООО "Аттракционстандарт" (Коммерческие предложения ООО "Аттракционстандарт", ООО "Цунтр по безопасности аттракционов", ООО "ПроммашТест")</t>
  </si>
  <si>
    <t>Техосвидетельствование аттракционов</t>
  </si>
  <si>
    <t>парк КиО</t>
  </si>
  <si>
    <t>6.5.22.</t>
  </si>
  <si>
    <t>6.6.10.</t>
  </si>
  <si>
    <t xml:space="preserve">Приобретение  туалетного модуля для размещения на территории парка КиО </t>
  </si>
  <si>
    <t xml:space="preserve"> Коммерческие предложение ООО "Кубанский завод металлоконструкций", Компания ООО "ТК "Биоэкология".</t>
  </si>
  <si>
    <t xml:space="preserve"> Приобретение туалетного модуля для размещения на территории парка КиО </t>
  </si>
  <si>
    <t>Транспортные услуги для доставки  туалетного модуля для размещения на территории парка КиО</t>
  </si>
  <si>
    <t>6.2.3</t>
  </si>
  <si>
    <t>808 0801 02 3 03 00110 244 222</t>
  </si>
  <si>
    <t>2.3</t>
  </si>
  <si>
    <t>2.4</t>
  </si>
  <si>
    <t>6.5.1</t>
  </si>
  <si>
    <t>6.6.2</t>
  </si>
  <si>
    <t>6.6.4</t>
  </si>
  <si>
    <t>6.7</t>
  </si>
  <si>
    <t>6.7.1</t>
  </si>
  <si>
    <t>6.8</t>
  </si>
  <si>
    <t>6.8.1</t>
  </si>
  <si>
    <t>6.8.2</t>
  </si>
  <si>
    <t>6.9.</t>
  </si>
  <si>
    <t>6.9.1</t>
  </si>
  <si>
    <t>6.9.2</t>
  </si>
  <si>
    <t>6.9.3</t>
  </si>
  <si>
    <t>6.9.4</t>
  </si>
  <si>
    <t>6.9.5</t>
  </si>
  <si>
    <t>6.9.6</t>
  </si>
  <si>
    <t>6.9.7</t>
  </si>
  <si>
    <t>Расходы на командировку- проезд, проживание, мед.осмотры</t>
  </si>
  <si>
    <t>проезд и проживание в командировке, мед.осмотры.</t>
  </si>
  <si>
    <t>Мед.осмотры при приеме на работу</t>
  </si>
  <si>
    <t>Договор оказания услуг№ 19-21 от 01.01.2019 ООО "Оптима групп"                ( 115 000.00 руб.); договоры ГПХ с физ.лицами</t>
  </si>
  <si>
    <t>Уборка помещений и территории</t>
  </si>
  <si>
    <t>Контракт 19-14 от 01.01.2019 ООО "Частное охранное агенство "Баярд"(93000,00), муниципальный контракт № 19-50 от 05.02.2019 ООО "Частное охранное агенство "Баярд" ( в парке КиО- 705408,00),  муниципальный контракт № 19-51 от 01.02.2019 ООО "Частное охранное предприятие "Конвой"(Здание Дом музыки и кино).</t>
  </si>
  <si>
    <t>Договор № 65-Р от 10.04.2019 ФБУЗ "Центр гигиены и эпидемиологии в ВО"(34620,16 руб.- 18,3 га)</t>
  </si>
  <si>
    <t>Договор об оказании информационных услуг № 496/ПО-2018; Договор об оказании информационных услуг № 496/ПО-2019 от 01.05.2019 (27200,00 руб.)</t>
  </si>
  <si>
    <t>И.о. директора</t>
  </si>
  <si>
    <t>Приобретение электротоваров (лампы)</t>
  </si>
  <si>
    <t>Счет 3 13 от 20.03.2019 ИП Столетов К.В.</t>
  </si>
  <si>
    <t>Оригинальная лампа без модуля для проектора.</t>
  </si>
  <si>
    <t>Договор поставки № 2012/19 от 06.05.2019 г. ИП Коваль А.С.</t>
  </si>
  <si>
    <t>Смарт-терминал</t>
  </si>
  <si>
    <t>Контракт 19-14 от 01.01.2019 ООО "Частное охранное агенство "Баярд", муниципальный контракт № 19-50 от 05.02.2019 ООО "Частное охранное агенство "Баярд" ( в парке КиО),  муниципальный контракт № 19-51 от 01.02.2019 ООО "Частное охранное предприятие "Конвой"(Здание Дом музыки и кино-400800,00), договор №19-57 от 31.01.2019 ООО "Частное охранное агенство "Баярд" ( в парке КиО 01.02.19-04.02.19 - 12000,00), договор №19-19 от 01.01.2019 ООО"Конвой"( 51150,00),3 договор № 02/19 от 01.01.2019 ООО"Конвой"(7200,00)</t>
  </si>
  <si>
    <t>6.6.18.</t>
  </si>
  <si>
    <t>Электронная подпись</t>
  </si>
  <si>
    <t>Право регистрации в СБИС с подписью на внешнем носителе</t>
  </si>
  <si>
    <t>Договор № 19-94, 19-94/1 от 21.02.2019, дог. от 30.03.2019 на 4995,00 руб. ИП Мизякова З.А. Коммерческие предложения ООО "РС - Печатаем, ИП Анишина И.Н., ООО "Квадрат".</t>
  </si>
  <si>
    <t>Приобретение расходных материалов (леска для триммера, песко-соляная смесь, метлы, грабли, краска, проволока и пр.)</t>
  </si>
  <si>
    <t>Договор №19-309 от 07.05.2019 ИП Чиж А.С.</t>
  </si>
  <si>
    <t>344</t>
  </si>
  <si>
    <t>Договор № 19-92 от 20.02.2019 ООО "Издательский дом "Про"(Коммерческие предложения: ООО "Издательский дом "Про", скриншоты)</t>
  </si>
  <si>
    <t>Договор № 19-321 от 07.05.2019 ООО "Издательский дом "Про"(Коммерческие предложения ООО "РС-Печатаем", ООО "Квадрат", ИП Анишина И.Н., ООО "Мастерская "Буква", ИП Ушаков М.А., ООО "Издательский дом "Про").</t>
  </si>
  <si>
    <t>Услуги по установке и  монтажу КТС</t>
  </si>
  <si>
    <t>Договор №02/19 от 01.01.2019 ООО "Конвой" (Коммерческие предложения ООО "Конвой", ООО "Локер Т")</t>
  </si>
  <si>
    <t>Коммерческие предложения ООО "Конвой", ООО "Локер Т"</t>
  </si>
  <si>
    <t>Приобретение летних комплектов спецодежды</t>
  </si>
  <si>
    <t>Коммерческие предложения ООО "БиН", ООО "Альтернатива, ООО "БиН-Регион".</t>
  </si>
  <si>
    <t>Приобретение расходных материалов (леска для триммера, песко-соляная смесь, краска, грабли, проволока и пр.)</t>
  </si>
  <si>
    <t>Обучение по программе доп.образования (повышение квалификации) "Управление культурно-досуговым учреждением" и охране труда.</t>
  </si>
  <si>
    <t xml:space="preserve">Договор на обучение № 20 от 19.05.2019 НОУ ДПО "Учебный центр "Системэнерго" (6000,00 руб.); Договор №Ц00001764 от 27.05.2019 ООО "Прогресс-Центр" (24000,00руб.) </t>
  </si>
  <si>
    <t>Договор 581/2018 от 19.12.2017 ООО "Чистый след" , договор № 03-ПО/2019-19-356 ЧМП "Спецавтотранс".</t>
  </si>
  <si>
    <t>Сбор, транспортировка и обработка ТБО, с передачей в собственность отходов и прочих отходов за исключением ТКО.</t>
  </si>
  <si>
    <t xml:space="preserve">Услуга за декабрь 2018 г., </t>
  </si>
  <si>
    <t>Опл по сч №4456 от 31.12.18 г за транспортировку отходов в декабре.</t>
  </si>
  <si>
    <t>Услуги по  подготовке ККТ к эксплуатации</t>
  </si>
  <si>
    <t>6.6.19.</t>
  </si>
  <si>
    <t>18.</t>
  </si>
  <si>
    <t xml:space="preserve">Договор поставки № 19-387 от 29.05.2019г. ООО "БиН" (1101,60) Коммерческие предложения ООО "БиН", ООО "БиН-Регион", ООО "Альтернатива" </t>
  </si>
  <si>
    <t>Договор поставки № 19-189 от 10.04.2019 ИП Беляев А.С., договор поставки № 19-178 от 08.04.2019 ООО "Стали" ( 294,00 руб., 5200,00-краска), договор поставки № 166 от 31.05.2019 ООО "Стали"(4980,00-корд триммерный) по скриншотам с сайтов www.sbreakeven.ru, www.220-volt.ru, www.motomir-plus.ru., http://анталекс.рф/catalog</t>
  </si>
  <si>
    <t>18,70</t>
  </si>
  <si>
    <t>Лицензионный договор № 1041905751414 от 15.05.2019г. ООО "Компания "Тензор" (900,00 руб.); сублицензион.договор №308 от 07.06.2019 ООО "Защита информационных систем" (1000,00)</t>
  </si>
  <si>
    <t>1.8</t>
  </si>
  <si>
    <t>808 00000 00 0 00 0000 150</t>
  </si>
  <si>
    <t>Пожертвования</t>
  </si>
  <si>
    <t>6.8.1.5</t>
  </si>
  <si>
    <t>6.8.1.4</t>
  </si>
  <si>
    <t xml:space="preserve"> Приобретение и обустройство 2-х детских площадок</t>
  </si>
  <si>
    <t>Договор поставки № 567 от 14.06.2019 ООО"ТСЦ"(1500,00), № 19-423 от 26.06.2019 (1500,00), договор 19-407 по регистрации ККТ от 13.06.2019 ООО"ТСЦ" (1500,00), от 26.06.2019 (1500,00)</t>
  </si>
  <si>
    <t>Расчет 1 (Планируемый объем выручки за публичное исполнение музыкальных и аудиовизуальных произведений на 2019 год составит 864000 руб. Средний процент отчислений в год - 5%)</t>
  </si>
  <si>
    <t>10.</t>
  </si>
  <si>
    <t>Приобретение и обустройство 2-х детских площадок</t>
  </si>
  <si>
    <t>Договор поставки № 47/р от 10.04.2019 ООО "ТЦ "Команда",  договор поставки № 19-419 от 25.06.2019 ООО "АТИС".</t>
  </si>
  <si>
    <t>Договор пожертвования № 19-400 от 17.06.2019г.</t>
  </si>
  <si>
    <t>Договор № 03-ПО/2019-19-356 ЧМП "Спецавтотранс", договор № 19-426 от 22.04.2019 ( 16500,00), №19-427 от 25.04.2019 (11000,00)</t>
  </si>
  <si>
    <t>10 услуг</t>
  </si>
  <si>
    <t xml:space="preserve">Парки КиО, парка 200-Летия, ленин.комсом. </t>
  </si>
  <si>
    <t>6.8.1.6</t>
  </si>
  <si>
    <t>Приобретение специализированного оборудования, в том числе контейнеров объемом 1,1 куб.м. – 5 шт., урн для мусора – 6 шт., оборудование новых контейнерных площадок на 3 контейнера – 3 шт.</t>
  </si>
  <si>
    <t>3.6</t>
  </si>
  <si>
    <t>Штрафы за нарушение законодательства о закупках и нарушение условий контрактов (договоров)</t>
  </si>
  <si>
    <t>11.</t>
  </si>
  <si>
    <t>Дорожная  карта  2 этап (дополнительная потребность) реализации реформы в сфере обращения с ТКО</t>
  </si>
  <si>
    <t>808 0801 02 3 01 00110 853 293</t>
  </si>
  <si>
    <t>Договоры с обладателями исключительных авторских и смежных прав на использование  Фильмов.  50% от валового сбора (795900 руб.*50%) Дог .374/7/19-28 от 09.01.2019, дог.  № 374/6/19-27 от 09.01.2019, дог. № 18-505 от 19.12.2018, дог.№ЛиПЗ-32 от 25.12.2018.</t>
  </si>
  <si>
    <t>Приобретение специализированного оборудования, в том числе мусорных контейнеров  – 5 шт., урн для мусора – 6 шт., оборудование новых контейнерных площадок  – 3 шт.</t>
  </si>
  <si>
    <t>6.6.20.</t>
  </si>
  <si>
    <t>Оплата по ДГПХ за работы (услуги) в парках.</t>
  </si>
  <si>
    <t>808 0801 02 3 02 00000 244 344</t>
  </si>
  <si>
    <t xml:space="preserve">ООО "Чистый след" Единственный поставщик , транспортировка ТКО. </t>
  </si>
  <si>
    <t>М.Ю.Бермус</t>
  </si>
  <si>
    <t>М.Ю. Бермус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</si>
</sst>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\ * #,##0.00&quot;    &quot;;\-* #,##0.00&quot;    &quot;;\ * \-#&quot;    &quot;;@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[Red]\-#,##0.00\ "/>
    <numFmt numFmtId="181" formatCode="#,##0_ ;[Red]\-#,##0\ "/>
    <numFmt numFmtId="182" formatCode="#,##0.0_ ;[Red]\-#,##0.0\ "/>
    <numFmt numFmtId="183" formatCode="[$-FC19]d\ mmmm\ yyyy\ &quot;г.&quot;"/>
    <numFmt numFmtId="184" formatCode="0.000%"/>
    <numFmt numFmtId="185" formatCode="0.0%"/>
    <numFmt numFmtId="186" formatCode="\ * #,##0.000&quot;    &quot;;\-* #,##0.000&quot;    &quot;;\ * \-#.0&quot;    &quot;;@\ "/>
    <numFmt numFmtId="187" formatCode="\ * #,##0.0&quot;    &quot;;\-* #,##0.0&quot;    &quot;;\ * \-#&quot;    &quot;;@\ "/>
    <numFmt numFmtId="188" formatCode="\ * #,##0.00&quot;    &quot;;\-* #,##0.00&quot;    &quot;;\ * \-#.0&quot;    &quot;;@\ "/>
    <numFmt numFmtId="189" formatCode="\ * #,##0.000&quot;    &quot;;\-* #,##0.000&quot;    &quot;;\ * \-#.00&quot;    &quot;;@\ "/>
    <numFmt numFmtId="190" formatCode="0.0000"/>
    <numFmt numFmtId="191" formatCode="0.000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3"/>
      <color indexed="63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25"/>
      <name val="Arial Black"/>
      <family val="2"/>
    </font>
    <font>
      <sz val="11"/>
      <color indexed="60"/>
      <name val="Arial"/>
      <family val="2"/>
    </font>
    <font>
      <u val="single"/>
      <sz val="11"/>
      <color indexed="55"/>
      <name val="Calibri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 Black"/>
      <family val="2"/>
    </font>
    <font>
      <sz val="11"/>
      <color rgb="FF9C65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10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patternFill patternType="solid">
        <fgColor theme="5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DBE1EF"/>
        <bgColor indexed="64"/>
      </patternFill>
    </fill>
    <fill>
      <patternFill patternType="solid">
        <fgColor rgb="FFDBE1E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E1E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BE1EF"/>
        <bgColor indexed="64"/>
      </patternFill>
    </fill>
    <fill>
      <patternFill patternType="solid">
        <fgColor rgb="FFDBE1E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3C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3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1EF"/>
        <bgColor indexed="64"/>
      </pattern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  <fill>
      <gradientFill degree="90">
        <stop position="0">
          <color rgb="FFFFFFCC"/>
        </stop>
        <stop position="1">
          <color rgb="FFFFFFCC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85" fillId="31" borderId="0" applyNumberFormat="0" applyBorder="0" applyAlignment="0" applyProtection="0"/>
  </cellStyleXfs>
  <cellXfs count="9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right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14" fillId="0" borderId="12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5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 shrinkToFi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 shrinkToFit="1"/>
    </xf>
    <xf numFmtId="0" fontId="2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34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9" fillId="0" borderId="0" xfId="42" applyAlignment="1">
      <alignment/>
    </xf>
    <xf numFmtId="0" fontId="5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7" xfId="6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center" vertical="center" wrapText="1" shrinkToFit="1"/>
    </xf>
    <xf numFmtId="0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185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4" fontId="3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4" fontId="30" fillId="32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/>
    </xf>
    <xf numFmtId="0" fontId="3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35" fillId="0" borderId="0" xfId="0" applyFont="1" applyFill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14" fontId="14" fillId="0" borderId="17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4" fillId="0" borderId="17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4" fontId="35" fillId="0" borderId="0" xfId="0" applyNumberFormat="1" applyFont="1" applyAlignment="1">
      <alignment horizontal="center" vertical="top" wrapText="1"/>
    </xf>
    <xf numFmtId="0" fontId="14" fillId="0" borderId="17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34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35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0" fontId="14" fillId="0" borderId="21" xfId="0" applyNumberFormat="1" applyFont="1" applyBorder="1" applyAlignment="1">
      <alignment horizontal="center" vertical="center" wrapText="1"/>
    </xf>
    <xf numFmtId="180" fontId="7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180" fontId="14" fillId="0" borderId="21" xfId="0" applyNumberFormat="1" applyFont="1" applyFill="1" applyBorder="1" applyAlignment="1">
      <alignment horizontal="center" vertical="center" wrapText="1"/>
    </xf>
    <xf numFmtId="181" fontId="7" fillId="0" borderId="21" xfId="0" applyNumberFormat="1" applyFont="1" applyBorder="1" applyAlignment="1">
      <alignment horizontal="center" vertical="center" wrapText="1"/>
    </xf>
    <xf numFmtId="181" fontId="14" fillId="0" borderId="21" xfId="0" applyNumberFormat="1" applyFont="1" applyFill="1" applyBorder="1" applyAlignment="1">
      <alignment horizontal="center" vertical="center" wrapText="1"/>
    </xf>
    <xf numFmtId="182" fontId="14" fillId="0" borderId="21" xfId="0" applyNumberFormat="1" applyFont="1" applyFill="1" applyBorder="1" applyAlignment="1">
      <alignment horizontal="center" vertical="center" wrapText="1"/>
    </xf>
    <xf numFmtId="182" fontId="7" fillId="0" borderId="21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23" fillId="0" borderId="17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8" fillId="39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/>
    </xf>
    <xf numFmtId="4" fontId="6" fillId="0" borderId="0" xfId="0" applyNumberFormat="1" applyFont="1" applyAlignment="1">
      <alignment/>
    </xf>
    <xf numFmtId="4" fontId="12" fillId="40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2" fontId="8" fillId="42" borderId="10" xfId="0" applyNumberFormat="1" applyFont="1" applyFill="1" applyBorder="1" applyAlignment="1">
      <alignment horizontal="center" vertical="center" wrapText="1"/>
    </xf>
    <xf numFmtId="4" fontId="8" fillId="43" borderId="10" xfId="0" applyNumberFormat="1" applyFont="1" applyFill="1" applyBorder="1" applyAlignment="1">
      <alignment horizontal="center" vertical="center" wrapText="1"/>
    </xf>
    <xf numFmtId="4" fontId="13" fillId="44" borderId="10" xfId="0" applyNumberFormat="1" applyFont="1" applyFill="1" applyBorder="1" applyAlignment="1">
      <alignment horizontal="center" vertical="center" wrapText="1"/>
    </xf>
    <xf numFmtId="2" fontId="12" fillId="45" borderId="10" xfId="0" applyNumberFormat="1" applyFont="1" applyFill="1" applyBorder="1" applyAlignment="1">
      <alignment horizontal="center" vertical="center" wrapText="1"/>
    </xf>
    <xf numFmtId="49" fontId="10" fillId="46" borderId="10" xfId="0" applyNumberFormat="1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vertical="center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" fontId="13" fillId="47" borderId="10" xfId="0" applyNumberFormat="1" applyFont="1" applyFill="1" applyBorder="1" applyAlignment="1">
      <alignment horizontal="center" vertical="center" wrapText="1"/>
    </xf>
    <xf numFmtId="4" fontId="13" fillId="46" borderId="10" xfId="0" applyNumberFormat="1" applyFont="1" applyFill="1" applyBorder="1" applyAlignment="1">
      <alignment horizontal="center" vertical="center" wrapText="1"/>
    </xf>
    <xf numFmtId="4" fontId="12" fillId="47" borderId="10" xfId="0" applyNumberFormat="1" applyFont="1" applyFill="1" applyBorder="1" applyAlignment="1">
      <alignment horizontal="center" vertical="center" wrapText="1"/>
    </xf>
    <xf numFmtId="4" fontId="8" fillId="46" borderId="10" xfId="0" applyNumberFormat="1" applyFont="1" applyFill="1" applyBorder="1" applyAlignment="1">
      <alignment horizontal="center" vertical="center" wrapText="1"/>
    </xf>
    <xf numFmtId="49" fontId="29" fillId="48" borderId="10" xfId="0" applyNumberFormat="1" applyFont="1" applyFill="1" applyBorder="1" applyAlignment="1">
      <alignment horizontal="center" vertical="center"/>
    </xf>
    <xf numFmtId="0" fontId="28" fillId="48" borderId="10" xfId="0" applyFont="1" applyFill="1" applyBorder="1" applyAlignment="1">
      <alignment vertical="center" wrapText="1"/>
    </xf>
    <xf numFmtId="0" fontId="30" fillId="48" borderId="10" xfId="0" applyFont="1" applyFill="1" applyBorder="1" applyAlignment="1">
      <alignment vertical="center" wrapText="1"/>
    </xf>
    <xf numFmtId="49" fontId="31" fillId="48" borderId="10" xfId="0" applyNumberFormat="1" applyFont="1" applyFill="1" applyBorder="1" applyAlignment="1">
      <alignment horizontal="center" vertical="center" wrapText="1"/>
    </xf>
    <xf numFmtId="4" fontId="22" fillId="48" borderId="10" xfId="0" applyNumberFormat="1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right" vertical="center" wrapText="1"/>
    </xf>
    <xf numFmtId="49" fontId="6" fillId="46" borderId="10" xfId="0" applyNumberFormat="1" applyFont="1" applyFill="1" applyBorder="1" applyAlignment="1">
      <alignment horizontal="center" vertical="center"/>
    </xf>
    <xf numFmtId="49" fontId="8" fillId="46" borderId="10" xfId="0" applyNumberFormat="1" applyFont="1" applyFill="1" applyBorder="1" applyAlignment="1">
      <alignment horizontal="center" vertical="center" wrapText="1"/>
    </xf>
    <xf numFmtId="49" fontId="6" fillId="49" borderId="10" xfId="0" applyNumberFormat="1" applyFont="1" applyFill="1" applyBorder="1" applyAlignment="1">
      <alignment horizontal="center" vertical="center"/>
    </xf>
    <xf numFmtId="0" fontId="8" fillId="49" borderId="10" xfId="0" applyFont="1" applyFill="1" applyBorder="1" applyAlignment="1">
      <alignment vertical="center" wrapText="1"/>
    </xf>
    <xf numFmtId="49" fontId="10" fillId="49" borderId="10" xfId="0" applyNumberFormat="1" applyFont="1" applyFill="1" applyBorder="1" applyAlignment="1">
      <alignment horizontal="right" vertical="center" wrapText="1"/>
    </xf>
    <xf numFmtId="4" fontId="8" fillId="49" borderId="10" xfId="0" applyNumberFormat="1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left" vertical="center" wrapText="1"/>
    </xf>
    <xf numFmtId="49" fontId="10" fillId="50" borderId="10" xfId="0" applyNumberFormat="1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vertical="center" wrapText="1"/>
    </xf>
    <xf numFmtId="49" fontId="10" fillId="50" borderId="10" xfId="0" applyNumberFormat="1" applyFont="1" applyFill="1" applyBorder="1" applyAlignment="1">
      <alignment horizontal="right" vertical="center" wrapText="1"/>
    </xf>
    <xf numFmtId="4" fontId="8" fillId="50" borderId="10" xfId="0" applyNumberFormat="1" applyFont="1" applyFill="1" applyBorder="1" applyAlignment="1">
      <alignment horizontal="center" vertical="center" wrapText="1"/>
    </xf>
    <xf numFmtId="0" fontId="10" fillId="48" borderId="10" xfId="0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4" fontId="12" fillId="48" borderId="10" xfId="0" applyNumberFormat="1" applyFont="1" applyFill="1" applyBorder="1" applyAlignment="1">
      <alignment horizontal="center" vertical="center" wrapText="1"/>
    </xf>
    <xf numFmtId="4" fontId="8" fillId="48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right" vertical="center" wrapText="1"/>
    </xf>
    <xf numFmtId="2" fontId="8" fillId="48" borderId="10" xfId="0" applyNumberFormat="1" applyFont="1" applyFill="1" applyBorder="1" applyAlignment="1">
      <alignment horizontal="center" vertical="center" wrapText="1"/>
    </xf>
    <xf numFmtId="2" fontId="12" fillId="48" borderId="10" xfId="0" applyNumberFormat="1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 indent="1" shrinkToFit="1"/>
    </xf>
    <xf numFmtId="4" fontId="8" fillId="51" borderId="10" xfId="0" applyNumberFormat="1" applyFont="1" applyFill="1" applyBorder="1" applyAlignment="1">
      <alignment horizontal="center" vertical="center" wrapText="1"/>
    </xf>
    <xf numFmtId="4" fontId="6" fillId="52" borderId="10" xfId="0" applyNumberFormat="1" applyFont="1" applyFill="1" applyBorder="1" applyAlignment="1">
      <alignment horizontal="center" vertical="center" wrapText="1"/>
    </xf>
    <xf numFmtId="4" fontId="8" fillId="53" borderId="10" xfId="0" applyNumberFormat="1" applyFont="1" applyFill="1" applyBorder="1" applyAlignment="1">
      <alignment horizontal="center" vertical="center" wrapText="1"/>
    </xf>
    <xf numFmtId="4" fontId="12" fillId="54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13" fillId="55" borderId="10" xfId="0" applyNumberFormat="1" applyFont="1" applyFill="1" applyBorder="1" applyAlignment="1">
      <alignment horizontal="center" vertical="center" wrapText="1"/>
    </xf>
    <xf numFmtId="4" fontId="86" fillId="0" borderId="17" xfId="60" applyNumberFormat="1" applyFont="1" applyBorder="1" applyAlignment="1">
      <alignment horizontal="right" vertical="center"/>
    </xf>
    <xf numFmtId="2" fontId="8" fillId="51" borderId="10" xfId="0" applyNumberFormat="1" applyFont="1" applyFill="1" applyBorder="1" applyAlignment="1">
      <alignment horizontal="center" vertical="center" wrapText="1"/>
    </xf>
    <xf numFmtId="2" fontId="8" fillId="53" borderId="10" xfId="0" applyNumberFormat="1" applyFont="1" applyFill="1" applyBorder="1" applyAlignment="1">
      <alignment horizontal="center" vertical="center" wrapText="1"/>
    </xf>
    <xf numFmtId="4" fontId="6" fillId="51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3" fillId="51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12" fillId="4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 shrinkToFit="1"/>
    </xf>
    <xf numFmtId="49" fontId="2" fillId="0" borderId="16" xfId="0" applyNumberFormat="1" applyFont="1" applyBorder="1" applyAlignment="1">
      <alignment horizontal="center" vertical="top" wrapText="1" shrinkToFit="1"/>
    </xf>
    <xf numFmtId="0" fontId="2" fillId="0" borderId="13" xfId="0" applyFon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 wrapText="1" shrinkToFit="1"/>
    </xf>
    <xf numFmtId="0" fontId="8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/>
    </xf>
    <xf numFmtId="0" fontId="23" fillId="0" borderId="26" xfId="0" applyFont="1" applyBorder="1" applyAlignment="1">
      <alignment wrapText="1"/>
    </xf>
    <xf numFmtId="0" fontId="40" fillId="0" borderId="17" xfId="0" applyFont="1" applyBorder="1" applyAlignment="1">
      <alignment horizontal="right"/>
    </xf>
    <xf numFmtId="0" fontId="23" fillId="0" borderId="17" xfId="0" applyFont="1" applyBorder="1" applyAlignment="1">
      <alignment horizontal="center" vertical="center"/>
    </xf>
    <xf numFmtId="4" fontId="4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3" fillId="0" borderId="26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73" fontId="23" fillId="0" borderId="10" xfId="60" applyFont="1" applyFill="1" applyBorder="1" applyAlignment="1" applyProtection="1">
      <alignment/>
      <protection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40" fillId="0" borderId="10" xfId="0" applyFont="1" applyBorder="1" applyAlignment="1">
      <alignment wrapText="1"/>
    </xf>
    <xf numFmtId="49" fontId="45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 shrinkToFit="1"/>
    </xf>
    <xf numFmtId="49" fontId="23" fillId="0" borderId="17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right" vertical="center"/>
    </xf>
    <xf numFmtId="1" fontId="23" fillId="0" borderId="18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wrapText="1" shrinkToFit="1"/>
    </xf>
    <xf numFmtId="49" fontId="8" fillId="0" borderId="17" xfId="0" applyNumberFormat="1" applyFont="1" applyBorder="1" applyAlignment="1">
      <alignment horizontal="left" vertical="center" wrapText="1" shrinkToFit="1"/>
    </xf>
    <xf numFmtId="4" fontId="23" fillId="51" borderId="17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8" fillId="57" borderId="10" xfId="0" applyFont="1" applyFill="1" applyBorder="1" applyAlignment="1">
      <alignment horizontal="center" vertical="center" wrapText="1"/>
    </xf>
    <xf numFmtId="49" fontId="10" fillId="58" borderId="10" xfId="0" applyNumberFormat="1" applyFont="1" applyFill="1" applyBorder="1" applyAlignment="1">
      <alignment horizontal="center" vertical="center"/>
    </xf>
    <xf numFmtId="0" fontId="8" fillId="58" borderId="10" xfId="0" applyFont="1" applyFill="1" applyBorder="1" applyAlignment="1">
      <alignment vertical="center" wrapText="1"/>
    </xf>
    <xf numFmtId="49" fontId="11" fillId="54" borderId="10" xfId="0" applyNumberFormat="1" applyFont="1" applyFill="1" applyBorder="1" applyAlignment="1">
      <alignment horizontal="right" vertical="center" wrapText="1"/>
    </xf>
    <xf numFmtId="4" fontId="8" fillId="58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8" fillId="58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6" fillId="59" borderId="10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60" borderId="10" xfId="0" applyFont="1" applyFill="1" applyBorder="1" applyAlignment="1">
      <alignment horizontal="center" vertical="center" wrapText="1"/>
    </xf>
    <xf numFmtId="0" fontId="12" fillId="61" borderId="10" xfId="0" applyFont="1" applyFill="1" applyBorder="1" applyAlignment="1">
      <alignment horizontal="center" vertical="center" wrapText="1"/>
    </xf>
    <xf numFmtId="0" fontId="12" fillId="6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top" wrapText="1"/>
    </xf>
    <xf numFmtId="49" fontId="28" fillId="62" borderId="10" xfId="0" applyNumberFormat="1" applyFont="1" applyFill="1" applyBorder="1" applyAlignment="1">
      <alignment horizontal="center" vertical="center" wrapText="1"/>
    </xf>
    <xf numFmtId="49" fontId="12" fillId="64" borderId="10" xfId="0" applyNumberFormat="1" applyFont="1" applyFill="1" applyBorder="1" applyAlignment="1">
      <alignment horizontal="center" vertical="center" wrapText="1"/>
    </xf>
    <xf numFmtId="49" fontId="8" fillId="65" borderId="10" xfId="0" applyNumberFormat="1" applyFont="1" applyFill="1" applyBorder="1" applyAlignment="1">
      <alignment horizontal="center" vertical="center" wrapText="1"/>
    </xf>
    <xf numFmtId="49" fontId="12" fillId="66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12" fillId="58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" fontId="13" fillId="67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28" fillId="68" borderId="19" xfId="0" applyFont="1" applyFill="1" applyBorder="1" applyAlignment="1">
      <alignment horizontal="left" vertical="top" wrapText="1"/>
    </xf>
    <xf numFmtId="4" fontId="12" fillId="68" borderId="10" xfId="0" applyNumberFormat="1" applyFont="1" applyFill="1" applyBorder="1" applyAlignment="1">
      <alignment horizontal="center" vertical="center" wrapText="1"/>
    </xf>
    <xf numFmtId="4" fontId="12" fillId="69" borderId="1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4" fontId="12" fillId="70" borderId="10" xfId="0" applyNumberFormat="1" applyFont="1" applyFill="1" applyBorder="1" applyAlignment="1">
      <alignment horizontal="center" vertical="center" wrapText="1"/>
    </xf>
    <xf numFmtId="0" fontId="28" fillId="68" borderId="28" xfId="0" applyFont="1" applyFill="1" applyBorder="1" applyAlignment="1">
      <alignment horizontal="left" vertical="top" wrapText="1"/>
    </xf>
    <xf numFmtId="4" fontId="8" fillId="71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" fontId="8" fillId="7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8" fillId="60" borderId="10" xfId="0" applyNumberFormat="1" applyFont="1" applyFill="1" applyBorder="1" applyAlignment="1">
      <alignment horizontal="center"/>
    </xf>
    <xf numFmtId="0" fontId="28" fillId="72" borderId="19" xfId="0" applyFont="1" applyFill="1" applyBorder="1" applyAlignment="1">
      <alignment horizontal="left" vertical="top" wrapText="1"/>
    </xf>
    <xf numFmtId="4" fontId="12" fillId="72" borderId="10" xfId="0" applyNumberFormat="1" applyFont="1" applyFill="1" applyBorder="1" applyAlignment="1">
      <alignment horizontal="center" vertical="center" wrapText="1"/>
    </xf>
    <xf numFmtId="4" fontId="8" fillId="73" borderId="10" xfId="0" applyNumberFormat="1" applyFont="1" applyFill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left" vertical="top" wrapText="1"/>
    </xf>
    <xf numFmtId="4" fontId="12" fillId="74" borderId="10" xfId="0" applyNumberFormat="1" applyFont="1" applyFill="1" applyBorder="1" applyAlignment="1">
      <alignment horizontal="center" vertical="center" wrapText="1"/>
    </xf>
    <xf numFmtId="4" fontId="12" fillId="71" borderId="10" xfId="0" applyNumberFormat="1" applyFont="1" applyFill="1" applyBorder="1" applyAlignment="1">
      <alignment horizontal="center" vertical="center" wrapText="1"/>
    </xf>
    <xf numFmtId="4" fontId="8" fillId="75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9" fontId="8" fillId="62" borderId="10" xfId="0" applyNumberFormat="1" applyFont="1" applyFill="1" applyBorder="1" applyAlignment="1">
      <alignment horizontal="center"/>
    </xf>
    <xf numFmtId="0" fontId="28" fillId="62" borderId="19" xfId="0" applyFont="1" applyFill="1" applyBorder="1" applyAlignment="1">
      <alignment horizontal="left" vertical="top" wrapText="1"/>
    </xf>
    <xf numFmtId="4" fontId="12" fillId="62" borderId="10" xfId="0" applyNumberFormat="1" applyFont="1" applyFill="1" applyBorder="1" applyAlignment="1">
      <alignment horizontal="center" vertical="center" wrapText="1"/>
    </xf>
    <xf numFmtId="4" fontId="8" fillId="76" borderId="10" xfId="0" applyNumberFormat="1" applyFont="1" applyFill="1" applyBorder="1" applyAlignment="1">
      <alignment horizontal="center" vertical="center" wrapText="1"/>
    </xf>
    <xf numFmtId="4" fontId="8" fillId="7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4" fontId="12" fillId="8" borderId="10" xfId="0" applyNumberFormat="1" applyFont="1" applyFill="1" applyBorder="1" applyAlignment="1">
      <alignment horizontal="center" vertical="center" wrapText="1"/>
    </xf>
    <xf numFmtId="4" fontId="12" fillId="78" borderId="10" xfId="0" applyNumberFormat="1" applyFont="1" applyFill="1" applyBorder="1" applyAlignment="1">
      <alignment horizontal="center" vertical="center" wrapText="1"/>
    </xf>
    <xf numFmtId="0" fontId="8" fillId="51" borderId="10" xfId="0" applyFont="1" applyFill="1" applyBorder="1" applyAlignment="1">
      <alignment horizontal="left" vertical="top" wrapText="1"/>
    </xf>
    <xf numFmtId="4" fontId="12" fillId="67" borderId="10" xfId="0" applyNumberFormat="1" applyFont="1" applyFill="1" applyBorder="1" applyAlignment="1">
      <alignment horizontal="center" vertical="center" wrapText="1"/>
    </xf>
    <xf numFmtId="0" fontId="28" fillId="63" borderId="19" xfId="0" applyFont="1" applyFill="1" applyBorder="1" applyAlignment="1">
      <alignment horizontal="left" vertical="top" wrapText="1"/>
    </xf>
    <xf numFmtId="4" fontId="12" fillId="63" borderId="10" xfId="0" applyNumberFormat="1" applyFont="1" applyFill="1" applyBorder="1" applyAlignment="1">
      <alignment horizontal="center" vertical="center" wrapText="1"/>
    </xf>
    <xf numFmtId="49" fontId="28" fillId="62" borderId="10" xfId="0" applyNumberFormat="1" applyFont="1" applyFill="1" applyBorder="1" applyAlignment="1">
      <alignment horizontal="center"/>
    </xf>
    <xf numFmtId="4" fontId="28" fillId="62" borderId="19" xfId="0" applyNumberFormat="1" applyFont="1" applyFill="1" applyBorder="1" applyAlignment="1">
      <alignment horizontal="left" vertical="top" wrapText="1"/>
    </xf>
    <xf numFmtId="4" fontId="28" fillId="7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8" fillId="79" borderId="10" xfId="0" applyNumberFormat="1" applyFont="1" applyFill="1" applyBorder="1" applyAlignment="1">
      <alignment horizontal="center"/>
    </xf>
    <xf numFmtId="4" fontId="28" fillId="79" borderId="19" xfId="0" applyNumberFormat="1" applyFont="1" applyFill="1" applyBorder="1" applyAlignment="1">
      <alignment horizontal="left" vertical="top" wrapText="1"/>
    </xf>
    <xf numFmtId="4" fontId="12" fillId="80" borderId="10" xfId="0" applyNumberFormat="1" applyFont="1" applyFill="1" applyBorder="1" applyAlignment="1">
      <alignment horizontal="center" vertical="center" wrapText="1"/>
    </xf>
    <xf numFmtId="4" fontId="8" fillId="81" borderId="10" xfId="0" applyNumberFormat="1" applyFont="1" applyFill="1" applyBorder="1" applyAlignment="1">
      <alignment horizontal="center" vertical="center" wrapText="1"/>
    </xf>
    <xf numFmtId="4" fontId="12" fillId="82" borderId="10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left" vertical="top" wrapText="1"/>
    </xf>
    <xf numFmtId="4" fontId="8" fillId="83" borderId="10" xfId="0" applyNumberFormat="1" applyFont="1" applyFill="1" applyBorder="1" applyAlignment="1">
      <alignment horizontal="center" vertical="center" wrapText="1"/>
    </xf>
    <xf numFmtId="4" fontId="28" fillId="84" borderId="19" xfId="0" applyNumberFormat="1" applyFont="1" applyFill="1" applyBorder="1" applyAlignment="1">
      <alignment horizontal="left" vertical="top" wrapText="1"/>
    </xf>
    <xf numFmtId="4" fontId="12" fillId="85" borderId="10" xfId="0" applyNumberFormat="1" applyFont="1" applyFill="1" applyBorder="1" applyAlignment="1">
      <alignment horizontal="center" vertical="center" wrapText="1"/>
    </xf>
    <xf numFmtId="4" fontId="12" fillId="84" borderId="10" xfId="0" applyNumberFormat="1" applyFont="1" applyFill="1" applyBorder="1" applyAlignment="1">
      <alignment horizontal="center" vertical="center" wrapText="1"/>
    </xf>
    <xf numFmtId="4" fontId="8" fillId="86" borderId="10" xfId="0" applyNumberFormat="1" applyFont="1" applyFill="1" applyBorder="1" applyAlignment="1">
      <alignment horizontal="center" vertical="center" wrapText="1"/>
    </xf>
    <xf numFmtId="0" fontId="8" fillId="58" borderId="10" xfId="0" applyFont="1" applyFill="1" applyBorder="1" applyAlignment="1">
      <alignment/>
    </xf>
    <xf numFmtId="4" fontId="12" fillId="87" borderId="10" xfId="0" applyNumberFormat="1" applyFont="1" applyFill="1" applyBorder="1" applyAlignment="1">
      <alignment horizontal="center" vertical="center" wrapText="1"/>
    </xf>
    <xf numFmtId="4" fontId="12" fillId="58" borderId="10" xfId="0" applyNumberFormat="1" applyFont="1" applyFill="1" applyBorder="1" applyAlignment="1">
      <alignment horizontal="center" vertical="center" wrapText="1"/>
    </xf>
    <xf numFmtId="4" fontId="12" fillId="88" borderId="10" xfId="0" applyNumberFormat="1" applyFont="1" applyFill="1" applyBorder="1" applyAlignment="1">
      <alignment horizontal="center" vertical="center" wrapText="1"/>
    </xf>
    <xf numFmtId="4" fontId="12" fillId="89" borderId="10" xfId="0" applyNumberFormat="1" applyFont="1" applyFill="1" applyBorder="1" applyAlignment="1">
      <alignment horizontal="center" vertical="center" wrapText="1"/>
    </xf>
    <xf numFmtId="4" fontId="8" fillId="89" borderId="10" xfId="0" applyNumberFormat="1" applyFont="1" applyFill="1" applyBorder="1" applyAlignment="1">
      <alignment horizontal="center" vertical="center" wrapText="1"/>
    </xf>
    <xf numFmtId="49" fontId="28" fillId="90" borderId="10" xfId="0" applyNumberFormat="1" applyFont="1" applyFill="1" applyBorder="1" applyAlignment="1">
      <alignment horizontal="center"/>
    </xf>
    <xf numFmtId="4" fontId="28" fillId="90" borderId="19" xfId="0" applyNumberFormat="1" applyFont="1" applyFill="1" applyBorder="1" applyAlignment="1">
      <alignment horizontal="left" vertical="top" wrapText="1"/>
    </xf>
    <xf numFmtId="49" fontId="28" fillId="90" borderId="10" xfId="0" applyNumberFormat="1" applyFont="1" applyFill="1" applyBorder="1" applyAlignment="1">
      <alignment horizontal="center" vertical="center" wrapText="1"/>
    </xf>
    <xf numFmtId="49" fontId="8" fillId="90" borderId="10" xfId="0" applyNumberFormat="1" applyFont="1" applyFill="1" applyBorder="1" applyAlignment="1">
      <alignment horizontal="center"/>
    </xf>
    <xf numFmtId="49" fontId="12" fillId="91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8" borderId="10" xfId="0" applyNumberFormat="1" applyFont="1" applyFill="1" applyBorder="1" applyAlignment="1">
      <alignment horizontal="center" vertical="center" wrapText="1"/>
    </xf>
    <xf numFmtId="4" fontId="12" fillId="92" borderId="1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44" fillId="67" borderId="19" xfId="0" applyFont="1" applyFill="1" applyBorder="1" applyAlignment="1">
      <alignment horizontal="left" wrapText="1"/>
    </xf>
    <xf numFmtId="0" fontId="13" fillId="0" borderId="19" xfId="0" applyFont="1" applyBorder="1" applyAlignment="1">
      <alignment wrapText="1"/>
    </xf>
    <xf numFmtId="0" fontId="44" fillId="93" borderId="28" xfId="0" applyFont="1" applyFill="1" applyBorder="1" applyAlignment="1">
      <alignment horizontal="left" vertical="center" wrapText="1"/>
    </xf>
    <xf numFmtId="0" fontId="13" fillId="90" borderId="10" xfId="0" applyFont="1" applyFill="1" applyBorder="1" applyAlignment="1">
      <alignment horizontal="center" vertical="top" wrapText="1"/>
    </xf>
    <xf numFmtId="0" fontId="44" fillId="93" borderId="19" xfId="0" applyFont="1" applyFill="1" applyBorder="1" applyAlignment="1">
      <alignment horizontal="left" vertical="center" wrapText="1"/>
    </xf>
    <xf numFmtId="0" fontId="13" fillId="90" borderId="10" xfId="0" applyFont="1" applyFill="1" applyBorder="1" applyAlignment="1">
      <alignment horizontal="center" vertical="center" wrapText="1"/>
    </xf>
    <xf numFmtId="0" fontId="44" fillId="94" borderId="19" xfId="0" applyFont="1" applyFill="1" applyBorder="1" applyAlignment="1">
      <alignment horizontal="left" wrapText="1"/>
    </xf>
    <xf numFmtId="0" fontId="13" fillId="95" borderId="10" xfId="0" applyFont="1" applyFill="1" applyBorder="1" applyAlignment="1">
      <alignment horizontal="center" vertical="top" wrapText="1"/>
    </xf>
    <xf numFmtId="0" fontId="44" fillId="93" borderId="19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horizontal="left" wrapText="1"/>
    </xf>
    <xf numFmtId="49" fontId="10" fillId="90" borderId="10" xfId="0" applyNumberFormat="1" applyFont="1" applyFill="1" applyBorder="1" applyAlignment="1">
      <alignment horizontal="center"/>
    </xf>
    <xf numFmtId="0" fontId="44" fillId="90" borderId="19" xfId="0" applyFont="1" applyFill="1" applyBorder="1" applyAlignment="1">
      <alignment horizontal="left" vertical="center" wrapText="1"/>
    </xf>
    <xf numFmtId="0" fontId="13" fillId="91" borderId="10" xfId="0" applyFont="1" applyFill="1" applyBorder="1" applyAlignment="1">
      <alignment horizontal="center" vertical="center" wrapText="1"/>
    </xf>
    <xf numFmtId="49" fontId="6" fillId="90" borderId="10" xfId="0" applyNumberFormat="1" applyFont="1" applyFill="1" applyBorder="1" applyAlignment="1">
      <alignment horizontal="center"/>
    </xf>
    <xf numFmtId="0" fontId="6" fillId="90" borderId="19" xfId="0" applyFont="1" applyFill="1" applyBorder="1" applyAlignment="1">
      <alignment vertical="center" wrapText="1"/>
    </xf>
    <xf numFmtId="0" fontId="6" fillId="90" borderId="10" xfId="0" applyFont="1" applyFill="1" applyBorder="1" applyAlignment="1">
      <alignment horizontal="center" vertical="center" wrapText="1"/>
    </xf>
    <xf numFmtId="0" fontId="44" fillId="90" borderId="19" xfId="0" applyFont="1" applyFill="1" applyBorder="1" applyAlignment="1">
      <alignment horizontal="center" vertical="center" wrapText="1"/>
    </xf>
    <xf numFmtId="0" fontId="44" fillId="90" borderId="19" xfId="0" applyFont="1" applyFill="1" applyBorder="1" applyAlignment="1">
      <alignment horizontal="center" wrapText="1"/>
    </xf>
    <xf numFmtId="0" fontId="44" fillId="96" borderId="19" xfId="0" applyFont="1" applyFill="1" applyBorder="1" applyAlignment="1">
      <alignment horizontal="center" vertical="center" wrapText="1"/>
    </xf>
    <xf numFmtId="0" fontId="6" fillId="96" borderId="10" xfId="0" applyFont="1" applyFill="1" applyBorder="1" applyAlignment="1">
      <alignment horizontal="center" vertical="top" wrapText="1"/>
    </xf>
    <xf numFmtId="4" fontId="44" fillId="96" borderId="19" xfId="0" applyNumberFormat="1" applyFont="1" applyFill="1" applyBorder="1" applyAlignment="1">
      <alignment horizontal="left" vertical="center" wrapText="1"/>
    </xf>
    <xf numFmtId="49" fontId="13" fillId="91" borderId="10" xfId="0" applyNumberFormat="1" applyFont="1" applyFill="1" applyBorder="1" applyAlignment="1">
      <alignment horizontal="center" vertical="center" wrapText="1"/>
    </xf>
    <xf numFmtId="4" fontId="6" fillId="90" borderId="19" xfId="0" applyNumberFormat="1" applyFont="1" applyFill="1" applyBorder="1" applyAlignment="1">
      <alignment horizontal="left" wrapText="1"/>
    </xf>
    <xf numFmtId="49" fontId="6" fillId="9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2" fillId="97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4" fontId="12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2" fillId="98" borderId="17" xfId="0" applyNumberFormat="1" applyFont="1" applyFill="1" applyBorder="1" applyAlignment="1">
      <alignment vertical="center"/>
    </xf>
    <xf numFmtId="0" fontId="8" fillId="99" borderId="17" xfId="0" applyFont="1" applyFill="1" applyBorder="1" applyAlignment="1">
      <alignment horizontal="center" vertical="center"/>
    </xf>
    <xf numFmtId="4" fontId="8" fillId="99" borderId="17" xfId="0" applyNumberFormat="1" applyFont="1" applyFill="1" applyBorder="1" applyAlignment="1">
      <alignment vertical="center"/>
    </xf>
    <xf numFmtId="0" fontId="12" fillId="100" borderId="17" xfId="0" applyFont="1" applyFill="1" applyBorder="1" applyAlignment="1">
      <alignment horizontal="center" vertical="center"/>
    </xf>
    <xf numFmtId="4" fontId="12" fillId="100" borderId="17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4" fontId="47" fillId="0" borderId="25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" fontId="8" fillId="37" borderId="17" xfId="0" applyNumberFormat="1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" fontId="8" fillId="37" borderId="29" xfId="0" applyNumberFormat="1" applyFont="1" applyFill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37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4" fontId="8" fillId="101" borderId="26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4" fontId="8" fillId="101" borderId="17" xfId="0" applyNumberFormat="1" applyFont="1" applyFill="1" applyBorder="1" applyAlignment="1">
      <alignment vertical="center"/>
    </xf>
    <xf numFmtId="49" fontId="12" fillId="10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101" borderId="17" xfId="0" applyFont="1" applyFill="1" applyBorder="1" applyAlignment="1">
      <alignment vertical="center"/>
    </xf>
    <xf numFmtId="0" fontId="12" fillId="100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4" fontId="13" fillId="0" borderId="17" xfId="60" applyNumberFormat="1" applyFont="1" applyBorder="1" applyAlignment="1">
      <alignment horizontal="right" vertical="center"/>
    </xf>
    <xf numFmtId="0" fontId="2" fillId="0" borderId="32" xfId="0" applyFont="1" applyBorder="1" applyAlignment="1">
      <alignment/>
    </xf>
    <xf numFmtId="4" fontId="23" fillId="0" borderId="32" xfId="0" applyNumberFormat="1" applyFont="1" applyBorder="1" applyAlignment="1">
      <alignment vertical="center"/>
    </xf>
    <xf numFmtId="4" fontId="23" fillId="0" borderId="33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 shrinkToFit="1"/>
    </xf>
    <xf numFmtId="0" fontId="40" fillId="0" borderId="10" xfId="0" applyFont="1" applyBorder="1" applyAlignment="1">
      <alignment horizontal="right" vertical="center"/>
    </xf>
    <xf numFmtId="4" fontId="40" fillId="51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center" wrapText="1" shrinkToFi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40" fillId="37" borderId="10" xfId="0" applyFont="1" applyFill="1" applyBorder="1" applyAlignment="1">
      <alignment wrapText="1" shrinkToFit="1"/>
    </xf>
    <xf numFmtId="0" fontId="23" fillId="0" borderId="18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wrapText="1" shrinkToFit="1"/>
    </xf>
    <xf numFmtId="2" fontId="23" fillId="0" borderId="19" xfId="0" applyNumberFormat="1" applyFont="1" applyBorder="1" applyAlignment="1">
      <alignment horizontal="center" vertical="center" wrapText="1" shrinkToFit="1"/>
    </xf>
    <xf numFmtId="49" fontId="40" fillId="0" borderId="17" xfId="0" applyNumberFormat="1" applyFont="1" applyBorder="1" applyAlignment="1">
      <alignment wrapText="1" shrinkToFit="1"/>
    </xf>
    <xf numFmtId="2" fontId="40" fillId="0" borderId="19" xfId="0" applyNumberFormat="1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wrapText="1" shrinkToFit="1"/>
    </xf>
    <xf numFmtId="49" fontId="23" fillId="0" borderId="19" xfId="0" applyNumberFormat="1" applyFont="1" applyBorder="1" applyAlignment="1">
      <alignment horizontal="center" vertical="center" wrapText="1" shrinkToFit="1"/>
    </xf>
    <xf numFmtId="49" fontId="40" fillId="0" borderId="16" xfId="0" applyNumberFormat="1" applyFont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3" fontId="0" fillId="0" borderId="0" xfId="60" applyAlignment="1">
      <alignment/>
    </xf>
    <xf numFmtId="2" fontId="23" fillId="0" borderId="10" xfId="60" applyNumberFormat="1" applyFont="1" applyFill="1" applyBorder="1" applyAlignment="1" applyProtection="1">
      <alignment/>
      <protection/>
    </xf>
    <xf numFmtId="2" fontId="2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4" fontId="8" fillId="0" borderId="19" xfId="0" applyNumberFormat="1" applyFont="1" applyBorder="1" applyAlignment="1">
      <alignment horizontal="left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/>
    </xf>
    <xf numFmtId="0" fontId="40" fillId="0" borderId="0" xfId="0" applyFont="1" applyFill="1" applyBorder="1" applyAlignment="1">
      <alignment/>
    </xf>
    <xf numFmtId="0" fontId="23" fillId="0" borderId="17" xfId="0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wrapText="1" shrinkToFit="1"/>
    </xf>
    <xf numFmtId="0" fontId="40" fillId="0" borderId="17" xfId="0" applyFont="1" applyBorder="1" applyAlignment="1">
      <alignment horizontal="right" vertical="center"/>
    </xf>
    <xf numFmtId="4" fontId="40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37" borderId="17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4" fontId="23" fillId="0" borderId="17" xfId="0" applyNumberFormat="1" applyFont="1" applyBorder="1" applyAlignment="1">
      <alignment horizontal="left" vertical="center"/>
    </xf>
    <xf numFmtId="4" fontId="23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4" fontId="8" fillId="34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 shrinkToFit="1"/>
    </xf>
    <xf numFmtId="4" fontId="23" fillId="0" borderId="17" xfId="0" applyNumberFormat="1" applyFont="1" applyBorder="1" applyAlignment="1">
      <alignment horizontal="center" vertical="center" wrapText="1" shrinkToFit="1"/>
    </xf>
    <xf numFmtId="4" fontId="40" fillId="0" borderId="17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 shrinkToFit="1"/>
    </xf>
    <xf numFmtId="4" fontId="8" fillId="102" borderId="10" xfId="0" applyNumberFormat="1" applyFont="1" applyFill="1" applyBorder="1" applyAlignment="1">
      <alignment horizontal="center" vertical="center" wrapText="1"/>
    </xf>
    <xf numFmtId="4" fontId="12" fillId="76" borderId="10" xfId="0" applyNumberFormat="1" applyFont="1" applyFill="1" applyBorder="1" applyAlignment="1">
      <alignment horizontal="center" vertical="center" wrapText="1"/>
    </xf>
    <xf numFmtId="49" fontId="12" fillId="62" borderId="10" xfId="0" applyNumberFormat="1" applyFont="1" applyFill="1" applyBorder="1" applyAlignment="1">
      <alignment horizontal="center"/>
    </xf>
    <xf numFmtId="4" fontId="12" fillId="62" borderId="19" xfId="0" applyNumberFormat="1" applyFont="1" applyFill="1" applyBorder="1" applyAlignment="1">
      <alignment horizontal="left" vertical="top" wrapText="1"/>
    </xf>
    <xf numFmtId="49" fontId="12" fillId="103" borderId="1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 shrinkToFit="1"/>
    </xf>
    <xf numFmtId="180" fontId="22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center" vertical="center"/>
    </xf>
    <xf numFmtId="180" fontId="14" fillId="37" borderId="21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 shrinkToFit="1"/>
    </xf>
    <xf numFmtId="2" fontId="23" fillId="0" borderId="17" xfId="0" applyNumberFormat="1" applyFont="1" applyBorder="1" applyAlignment="1">
      <alignment horizontal="center"/>
    </xf>
    <xf numFmtId="0" fontId="8" fillId="5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2" fontId="2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48" fillId="62" borderId="10" xfId="0" applyNumberFormat="1" applyFont="1" applyFill="1" applyBorder="1" applyAlignment="1">
      <alignment horizontal="center" vertical="center" wrapText="1"/>
    </xf>
    <xf numFmtId="4" fontId="48" fillId="82" borderId="10" xfId="0" applyNumberFormat="1" applyFont="1" applyFill="1" applyBorder="1" applyAlignment="1">
      <alignment horizontal="center" vertical="center" wrapText="1"/>
    </xf>
    <xf numFmtId="4" fontId="48" fillId="72" borderId="10" xfId="0" applyNumberFormat="1" applyFont="1" applyFill="1" applyBorder="1" applyAlignment="1">
      <alignment horizontal="center" vertical="center" wrapText="1"/>
    </xf>
    <xf numFmtId="4" fontId="11" fillId="73" borderId="10" xfId="0" applyNumberFormat="1" applyFont="1" applyFill="1" applyBorder="1" applyAlignment="1">
      <alignment horizontal="center" vertical="center" wrapText="1"/>
    </xf>
    <xf numFmtId="4" fontId="11" fillId="81" borderId="10" xfId="0" applyNumberFormat="1" applyFont="1" applyFill="1" applyBorder="1" applyAlignment="1">
      <alignment horizontal="center" vertical="center" wrapText="1"/>
    </xf>
    <xf numFmtId="4" fontId="48" fillId="71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48" fillId="54" borderId="10" xfId="0" applyNumberFormat="1" applyFont="1" applyFill="1" applyBorder="1" applyAlignment="1">
      <alignment horizontal="center" vertical="center" wrapText="1"/>
    </xf>
    <xf numFmtId="4" fontId="48" fillId="58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5" fillId="0" borderId="20" xfId="0" applyFont="1" applyFill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35" fillId="0" borderId="20" xfId="0" applyFont="1" applyFill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35" fillId="0" borderId="20" xfId="0" applyFont="1" applyBorder="1" applyAlignment="1">
      <alignment horizontal="left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5" fillId="0" borderId="25" xfId="0" applyFont="1" applyBorder="1" applyAlignment="1">
      <alignment horizontal="left" wrapText="1"/>
    </xf>
    <xf numFmtId="0" fontId="34" fillId="0" borderId="27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35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4" fontId="14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10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105" borderId="10" xfId="0" applyFont="1" applyFill="1" applyBorder="1" applyAlignment="1">
      <alignment horizontal="center" vertical="center" wrapText="1"/>
    </xf>
    <xf numFmtId="49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106" borderId="10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107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23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40" fillId="7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0" fillId="7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0" fillId="0" borderId="27" xfId="0" applyFont="1" applyBorder="1" applyAlignment="1">
      <alignment horizontal="right"/>
    </xf>
    <xf numFmtId="0" fontId="40" fillId="0" borderId="31" xfId="0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0" fontId="40" fillId="0" borderId="27" xfId="0" applyFont="1" applyBorder="1" applyAlignment="1">
      <alignment horizontal="left" wrapText="1"/>
    </xf>
    <xf numFmtId="0" fontId="40" fillId="0" borderId="31" xfId="0" applyFont="1" applyBorder="1" applyAlignment="1">
      <alignment horizontal="left" wrapText="1"/>
    </xf>
    <xf numFmtId="0" fontId="4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11" fontId="23" fillId="0" borderId="17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 shrinkToFit="1"/>
    </xf>
    <xf numFmtId="4" fontId="12" fillId="0" borderId="29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49" fontId="24" fillId="0" borderId="0" xfId="0" applyNumberFormat="1" applyFont="1" applyAlignment="1">
      <alignment horizontal="left" wrapText="1" shrinkToFit="1"/>
    </xf>
    <xf numFmtId="0" fontId="24" fillId="0" borderId="0" xfId="0" applyNumberFormat="1" applyFont="1" applyAlignment="1">
      <alignment horizontal="left" vertical="top" wrapText="1" shrinkToFit="1"/>
    </xf>
    <xf numFmtId="0" fontId="5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 shrinkToFit="1"/>
    </xf>
    <xf numFmtId="49" fontId="2" fillId="0" borderId="11" xfId="0" applyNumberFormat="1" applyFont="1" applyBorder="1" applyAlignment="1">
      <alignment horizontal="center" vertical="top" wrapText="1" shrinkToFit="1"/>
    </xf>
    <xf numFmtId="49" fontId="2" fillId="0" borderId="16" xfId="0" applyNumberFormat="1" applyFont="1" applyBorder="1" applyAlignment="1">
      <alignment horizontal="center" vertical="top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12" fillId="99" borderId="25" xfId="0" applyFont="1" applyFill="1" applyBorder="1" applyAlignment="1">
      <alignment horizontal="center" vertical="center"/>
    </xf>
    <xf numFmtId="0" fontId="12" fillId="99" borderId="31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2" fillId="98" borderId="27" xfId="0" applyFont="1" applyFill="1" applyBorder="1" applyAlignment="1">
      <alignment horizontal="center" vertical="center"/>
    </xf>
    <xf numFmtId="0" fontId="12" fillId="98" borderId="25" xfId="0" applyFont="1" applyFill="1" applyBorder="1" applyAlignment="1">
      <alignment horizontal="center" vertical="center"/>
    </xf>
    <xf numFmtId="0" fontId="12" fillId="98" borderId="31" xfId="0" applyFont="1" applyFill="1" applyBorder="1" applyAlignment="1">
      <alignment horizontal="center" vertical="center"/>
    </xf>
    <xf numFmtId="0" fontId="12" fillId="100" borderId="25" xfId="0" applyFont="1" applyFill="1" applyBorder="1" applyAlignment="1">
      <alignment horizontal="center" vertical="center"/>
    </xf>
    <xf numFmtId="0" fontId="12" fillId="100" borderId="31" xfId="0" applyFont="1" applyFill="1" applyBorder="1" applyAlignment="1">
      <alignment horizontal="center" vertical="center"/>
    </xf>
    <xf numFmtId="0" fontId="12" fillId="10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srv\obmen\&#1055;&#1051;&#1040;&#1053;&#1067;%20&#1055;&#1060;&#1061;&#1044;\&#1043;&#1060;&#1057;\2017\&#1055;&#1060;&#1061;&#1044;%202017-2019%20&#1043;&#1060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 1-3"/>
      <sheetName val="раздел 4"/>
      <sheetName val="по КСЦР"/>
      <sheetName val="план доходов"/>
      <sheetName val="прил 3_2017"/>
      <sheetName val="доходы пд 12-15г"/>
      <sheetName val="прил 3_2018-2019"/>
      <sheetName val="разд 5"/>
      <sheetName val="разд 6-7"/>
      <sheetName val="ПР2_211"/>
      <sheetName val="прил 4"/>
      <sheetName val="ПР2_212"/>
      <sheetName val="ПР2_213"/>
      <sheetName val="ПР2_налоги"/>
      <sheetName val="ПР2_не закупки"/>
      <sheetName val="ПР2_221,222"/>
      <sheetName val="ПР2_223"/>
      <sheetName val="ПР2_225"/>
      <sheetName val="ПР2_226,290"/>
      <sheetName val="ПР2_310,340"/>
    </sheetNames>
    <sheetDataSet>
      <sheetData sheetId="4">
        <row r="34">
          <cell r="R34">
            <v>0</v>
          </cell>
          <cell r="Z34">
            <v>0</v>
          </cell>
          <cell r="AH34">
            <v>0</v>
          </cell>
          <cell r="AP34">
            <v>0</v>
          </cell>
        </row>
        <row r="51">
          <cell r="R51">
            <v>0</v>
          </cell>
          <cell r="Z51">
            <v>0</v>
          </cell>
          <cell r="AH51">
            <v>0</v>
          </cell>
          <cell r="AP51">
            <v>0</v>
          </cell>
        </row>
        <row r="57">
          <cell r="R57">
            <v>0</v>
          </cell>
          <cell r="Z57">
            <v>0</v>
          </cell>
          <cell r="AH57">
            <v>0</v>
          </cell>
          <cell r="AP57">
            <v>0</v>
          </cell>
        </row>
        <row r="70"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Главная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zoomScalePageLayoutView="0" workbookViewId="0" topLeftCell="B4">
      <selection activeCell="J17" sqref="J17"/>
    </sheetView>
  </sheetViews>
  <sheetFormatPr defaultColWidth="15.28125" defaultRowHeight="15"/>
  <cols>
    <col min="1" max="2" width="15.28125" style="218" customWidth="1"/>
    <col min="3" max="3" width="15.28125" style="219" customWidth="1"/>
    <col min="4" max="4" width="15.28125" style="220" customWidth="1"/>
    <col min="5" max="6" width="15.28125" style="221" customWidth="1"/>
    <col min="7" max="7" width="15.28125" style="222" customWidth="1"/>
    <col min="8" max="11" width="15.28125" style="218" customWidth="1"/>
    <col min="12" max="12" width="17.421875" style="218" customWidth="1"/>
    <col min="13" max="16384" width="15.28125" style="218" customWidth="1"/>
  </cols>
  <sheetData>
    <row r="1" spans="11:13" ht="91.5" customHeight="1">
      <c r="K1" s="737" t="s">
        <v>251</v>
      </c>
      <c r="L1" s="738"/>
      <c r="M1" s="738"/>
    </row>
    <row r="2" ht="15">
      <c r="L2" s="223"/>
    </row>
    <row r="3" spans="1:11" ht="16.5">
      <c r="A3" s="224"/>
      <c r="B3" s="224"/>
      <c r="C3" s="225"/>
      <c r="D3" s="224"/>
      <c r="E3" s="203"/>
      <c r="F3" s="203"/>
      <c r="K3" s="226" t="s">
        <v>273</v>
      </c>
    </row>
    <row r="4" spans="1:13" ht="37.5" customHeight="1">
      <c r="A4" s="212"/>
      <c r="B4" s="227"/>
      <c r="C4" s="228"/>
      <c r="D4" s="212"/>
      <c r="E4" s="229"/>
      <c r="F4" s="228"/>
      <c r="K4" s="739" t="s">
        <v>253</v>
      </c>
      <c r="L4" s="740"/>
      <c r="M4" s="740"/>
    </row>
    <row r="5" spans="1:13" ht="24.75" customHeight="1">
      <c r="A5" s="212"/>
      <c r="B5" s="227"/>
      <c r="C5" s="228"/>
      <c r="D5" s="212"/>
      <c r="E5" s="229"/>
      <c r="F5" s="228"/>
      <c r="K5" s="741" t="s">
        <v>254</v>
      </c>
      <c r="L5" s="741"/>
      <c r="M5" s="741"/>
    </row>
    <row r="6" spans="1:13" ht="16.5">
      <c r="A6" s="230"/>
      <c r="B6" s="230"/>
      <c r="C6" s="231"/>
      <c r="D6" s="230"/>
      <c r="E6" s="229"/>
      <c r="F6" s="229"/>
      <c r="K6" s="232"/>
      <c r="L6" s="742" t="s">
        <v>925</v>
      </c>
      <c r="M6" s="742"/>
    </row>
    <row r="7" spans="1:13" ht="15">
      <c r="A7" s="233"/>
      <c r="B7" s="233"/>
      <c r="C7" s="234"/>
      <c r="D7" s="233"/>
      <c r="E7" s="235"/>
      <c r="F7" s="235"/>
      <c r="K7" s="236" t="s">
        <v>249</v>
      </c>
      <c r="L7" s="747" t="s">
        <v>248</v>
      </c>
      <c r="M7" s="748"/>
    </row>
    <row r="8" spans="1:6" ht="15">
      <c r="A8" s="237"/>
      <c r="B8" s="237"/>
      <c r="C8" s="238"/>
      <c r="D8" s="239"/>
      <c r="E8" s="240"/>
      <c r="F8" s="240"/>
    </row>
    <row r="9" spans="1:15" ht="15.75">
      <c r="A9" s="217"/>
      <c r="B9"/>
      <c r="C9" s="62"/>
      <c r="D9" s="241"/>
      <c r="E9" s="242"/>
      <c r="F9" s="242"/>
      <c r="G9" s="61"/>
      <c r="H9"/>
      <c r="I9"/>
      <c r="J9"/>
      <c r="K9" s="1" t="s">
        <v>996</v>
      </c>
      <c r="N9"/>
      <c r="O9"/>
    </row>
    <row r="10" spans="2:11" ht="20.25">
      <c r="B10" s="749"/>
      <c r="C10" s="749"/>
      <c r="D10" s="749"/>
      <c r="E10" s="749"/>
      <c r="F10" s="749"/>
      <c r="G10" s="749"/>
      <c r="H10" s="749"/>
      <c r="I10" s="749"/>
      <c r="J10" s="749"/>
      <c r="K10" s="749"/>
    </row>
    <row r="11" spans="2:11" ht="20.25">
      <c r="B11" s="749" t="s">
        <v>863</v>
      </c>
      <c r="C11" s="749"/>
      <c r="D11" s="749"/>
      <c r="E11" s="749"/>
      <c r="F11" s="749"/>
      <c r="G11" s="749"/>
      <c r="H11" s="749"/>
      <c r="I11" s="749"/>
      <c r="J11" s="749"/>
      <c r="K11" s="749"/>
    </row>
    <row r="12" spans="2:11" ht="20.25">
      <c r="B12" s="749" t="s">
        <v>641</v>
      </c>
      <c r="C12" s="749"/>
      <c r="D12" s="749"/>
      <c r="E12" s="749"/>
      <c r="F12" s="749"/>
      <c r="G12" s="749"/>
      <c r="H12" s="749"/>
      <c r="I12" s="749"/>
      <c r="J12" s="749"/>
      <c r="K12" s="749"/>
    </row>
    <row r="13" spans="2:15" ht="18.75">
      <c r="B13" s="243"/>
      <c r="C13" s="243"/>
      <c r="D13" s="244"/>
      <c r="E13" s="245"/>
      <c r="F13" s="245"/>
      <c r="G13" s="246"/>
      <c r="H13" s="243"/>
      <c r="I13" s="243"/>
      <c r="J13" s="243"/>
      <c r="L13" s="247"/>
      <c r="M13" s="248" t="s">
        <v>277</v>
      </c>
      <c r="N13" s="243"/>
      <c r="O13" s="243"/>
    </row>
    <row r="14" spans="2:15" ht="18.75">
      <c r="B14" s="243"/>
      <c r="C14" s="243"/>
      <c r="D14" s="244"/>
      <c r="E14" s="245"/>
      <c r="F14" s="245"/>
      <c r="G14" s="246"/>
      <c r="H14" s="243"/>
      <c r="I14" s="243"/>
      <c r="J14" s="243"/>
      <c r="L14" s="249"/>
      <c r="M14" s="250"/>
      <c r="N14" s="243"/>
      <c r="O14" s="243"/>
    </row>
    <row r="15" spans="2:15" ht="31.5">
      <c r="B15" s="251"/>
      <c r="C15" s="252"/>
      <c r="D15" s="251"/>
      <c r="E15" s="253"/>
      <c r="F15" s="253"/>
      <c r="G15" s="254"/>
      <c r="H15" s="251"/>
      <c r="I15" s="251"/>
      <c r="J15" s="251"/>
      <c r="L15" s="255" t="s">
        <v>279</v>
      </c>
      <c r="M15" s="256"/>
      <c r="N15" s="251"/>
      <c r="O15" s="251"/>
    </row>
    <row r="16" spans="2:15" ht="45.75" customHeight="1">
      <c r="B16" s="743" t="s">
        <v>255</v>
      </c>
      <c r="C16" s="743"/>
      <c r="D16" s="743"/>
      <c r="E16" s="744" t="s">
        <v>281</v>
      </c>
      <c r="F16" s="744"/>
      <c r="G16" s="744"/>
      <c r="H16" s="744"/>
      <c r="I16" s="744"/>
      <c r="J16" s="744"/>
      <c r="L16" s="257" t="s">
        <v>262</v>
      </c>
      <c r="M16" s="258" t="s">
        <v>603</v>
      </c>
      <c r="N16" s="259"/>
      <c r="O16" s="259"/>
    </row>
    <row r="17" spans="2:15" ht="16.5">
      <c r="B17" s="260"/>
      <c r="C17" s="261"/>
      <c r="D17" s="262"/>
      <c r="E17" s="263"/>
      <c r="F17" s="263"/>
      <c r="G17" s="264"/>
      <c r="H17" s="260"/>
      <c r="I17" s="260"/>
      <c r="J17" s="260"/>
      <c r="L17" s="255" t="s">
        <v>256</v>
      </c>
      <c r="M17" s="265">
        <v>53998843</v>
      </c>
      <c r="N17" s="260"/>
      <c r="O17" s="260"/>
    </row>
    <row r="18" spans="2:15" ht="16.5">
      <c r="B18" s="745"/>
      <c r="C18" s="745"/>
      <c r="D18" s="745"/>
      <c r="E18" s="266"/>
      <c r="F18" s="266"/>
      <c r="G18" s="267"/>
      <c r="H18" s="268"/>
      <c r="I18" s="268"/>
      <c r="J18" s="268"/>
      <c r="L18" s="257" t="s">
        <v>289</v>
      </c>
      <c r="M18" s="258">
        <v>14</v>
      </c>
      <c r="N18" s="268"/>
      <c r="O18" s="268"/>
    </row>
    <row r="19" spans="2:15" ht="36" customHeight="1">
      <c r="B19" s="743" t="s">
        <v>257</v>
      </c>
      <c r="C19" s="743"/>
      <c r="D19" s="743"/>
      <c r="E19" s="746" t="s">
        <v>291</v>
      </c>
      <c r="F19" s="746"/>
      <c r="G19" s="746"/>
      <c r="H19" s="746"/>
      <c r="I19" s="746"/>
      <c r="J19" s="746"/>
      <c r="L19" s="257" t="s">
        <v>292</v>
      </c>
      <c r="M19" s="258">
        <v>19730000</v>
      </c>
      <c r="N19" s="259"/>
      <c r="O19" s="259"/>
    </row>
    <row r="20" spans="2:15" ht="43.5" customHeight="1">
      <c r="B20" s="743" t="s">
        <v>258</v>
      </c>
      <c r="C20" s="743"/>
      <c r="D20" s="743"/>
      <c r="E20" s="750" t="s">
        <v>291</v>
      </c>
      <c r="F20" s="750"/>
      <c r="G20" s="750"/>
      <c r="H20" s="750"/>
      <c r="I20" s="750"/>
      <c r="J20" s="750"/>
      <c r="L20" s="257" t="s">
        <v>294</v>
      </c>
      <c r="M20" s="258">
        <v>20903</v>
      </c>
      <c r="N20" s="259"/>
      <c r="O20" s="259"/>
    </row>
    <row r="21" spans="2:15" ht="25.5" customHeight="1">
      <c r="B21" s="260"/>
      <c r="C21" s="261"/>
      <c r="D21" s="269" t="s">
        <v>259</v>
      </c>
      <c r="E21" s="263"/>
      <c r="F21" s="270"/>
      <c r="G21" s="270"/>
      <c r="H21" s="751" t="s">
        <v>296</v>
      </c>
      <c r="I21" s="752"/>
      <c r="J21" s="268"/>
      <c r="L21" s="255" t="s">
        <v>297</v>
      </c>
      <c r="M21" s="265">
        <v>4210007</v>
      </c>
      <c r="N21" s="271"/>
      <c r="O21" s="271"/>
    </row>
    <row r="22" spans="2:15" ht="45.75" customHeight="1">
      <c r="B22" s="743" t="s">
        <v>299</v>
      </c>
      <c r="C22" s="743"/>
      <c r="D22" s="743"/>
      <c r="E22" s="743"/>
      <c r="F22" s="743"/>
      <c r="G22" s="743"/>
      <c r="H22" s="743"/>
      <c r="J22" s="270"/>
      <c r="L22" s="271" t="s">
        <v>260</v>
      </c>
      <c r="M22" s="265">
        <v>383</v>
      </c>
      <c r="N22" s="271"/>
      <c r="O22" s="271"/>
    </row>
    <row r="23" spans="2:15" ht="33.75" customHeight="1">
      <c r="B23" s="743" t="s">
        <v>261</v>
      </c>
      <c r="C23" s="743"/>
      <c r="D23" s="743"/>
      <c r="E23" s="743"/>
      <c r="F23" s="743"/>
      <c r="G23" s="743"/>
      <c r="H23" s="743"/>
      <c r="I23" s="272"/>
      <c r="J23" s="272"/>
      <c r="K23" s="273"/>
      <c r="L23" s="273"/>
      <c r="M23" s="265">
        <v>28390</v>
      </c>
      <c r="N23" s="271"/>
      <c r="O23" s="271"/>
    </row>
    <row r="24" spans="2:15" ht="16.5">
      <c r="B24" s="743"/>
      <c r="C24" s="743"/>
      <c r="D24" s="743"/>
      <c r="E24" s="263"/>
      <c r="F24" s="270"/>
      <c r="G24" s="270"/>
      <c r="H24" s="270"/>
      <c r="I24" s="270"/>
      <c r="J24" s="270"/>
      <c r="K24" s="274"/>
      <c r="L24" s="274"/>
      <c r="M24" s="274"/>
      <c r="N24" s="274"/>
      <c r="O24" s="274"/>
    </row>
    <row r="25" spans="2:15" ht="16.5">
      <c r="B25" s="260"/>
      <c r="C25" s="261"/>
      <c r="D25" s="260"/>
      <c r="E25" s="263"/>
      <c r="F25" s="263"/>
      <c r="G25" s="275"/>
      <c r="H25" s="268"/>
      <c r="I25" s="268"/>
      <c r="J25" s="268"/>
      <c r="K25" s="274"/>
      <c r="L25" s="274"/>
      <c r="M25" s="274"/>
      <c r="N25" s="268"/>
      <c r="O25" s="268"/>
    </row>
    <row r="26" spans="2:15" ht="16.5">
      <c r="B26" s="743"/>
      <c r="C26" s="743"/>
      <c r="D26" s="743"/>
      <c r="E26" s="263"/>
      <c r="F26" s="270"/>
      <c r="G26" s="270"/>
      <c r="H26" s="270"/>
      <c r="I26" s="270"/>
      <c r="J26" s="270"/>
      <c r="K26" s="274"/>
      <c r="L26" s="274"/>
      <c r="M26" s="274"/>
      <c r="N26" s="274"/>
      <c r="O26" s="274"/>
    </row>
    <row r="27" spans="1:15" ht="15">
      <c r="A27" s="276"/>
      <c r="B27" s="276"/>
      <c r="C27" s="277"/>
      <c r="D27" s="276"/>
      <c r="E27" s="124"/>
      <c r="F27" s="124"/>
      <c r="G27" s="278"/>
      <c r="H27" s="274"/>
      <c r="I27" s="274"/>
      <c r="J27" s="274"/>
      <c r="K27" s="274"/>
      <c r="L27" s="274"/>
      <c r="M27" s="274"/>
      <c r="N27" s="274"/>
      <c r="O27" s="274"/>
    </row>
  </sheetData>
  <sheetProtection/>
  <mergeCells count="20">
    <mergeCell ref="B26:D26"/>
    <mergeCell ref="B20:D20"/>
    <mergeCell ref="E20:J20"/>
    <mergeCell ref="H21:I21"/>
    <mergeCell ref="B22:H22"/>
    <mergeCell ref="B23:H23"/>
    <mergeCell ref="B24:D24"/>
    <mergeCell ref="B18:D18"/>
    <mergeCell ref="B19:D19"/>
    <mergeCell ref="E19:J19"/>
    <mergeCell ref="L7:M7"/>
    <mergeCell ref="B10:K10"/>
    <mergeCell ref="B11:K11"/>
    <mergeCell ref="B12:K12"/>
    <mergeCell ref="K1:M1"/>
    <mergeCell ref="K4:M4"/>
    <mergeCell ref="K5:M5"/>
    <mergeCell ref="L6:M6"/>
    <mergeCell ref="B16:D16"/>
    <mergeCell ref="E16:J16"/>
  </mergeCells>
  <printOptions/>
  <pageMargins left="0.7086614173228347" right="0.35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28125" style="0" customWidth="1"/>
    <col min="2" max="2" width="30.421875" style="0" customWidth="1"/>
    <col min="3" max="3" width="13.8515625" style="0" customWidth="1"/>
    <col min="4" max="4" width="15.421875" style="0" customWidth="1"/>
    <col min="5" max="5" width="14.28125" style="0" customWidth="1"/>
    <col min="6" max="6" width="22.57421875" style="0" customWidth="1"/>
    <col min="7" max="7" width="13.28125" style="0" customWidth="1"/>
    <col min="8" max="8" width="14.28125" style="0" customWidth="1"/>
  </cols>
  <sheetData>
    <row r="1" spans="1:6" ht="15">
      <c r="A1" s="851" t="s">
        <v>855</v>
      </c>
      <c r="B1" s="851"/>
      <c r="C1" s="851"/>
      <c r="D1" s="851"/>
      <c r="E1" s="851"/>
      <c r="F1" s="851"/>
    </row>
    <row r="2" spans="1:6" ht="15">
      <c r="A2" s="1" t="s">
        <v>491</v>
      </c>
      <c r="B2" s="1"/>
      <c r="C2" s="300" t="s">
        <v>717</v>
      </c>
      <c r="D2" s="300"/>
      <c r="E2" s="301"/>
      <c r="F2" s="300"/>
    </row>
    <row r="3" spans="1:6" ht="15">
      <c r="A3" s="1" t="s">
        <v>493</v>
      </c>
      <c r="B3" s="1"/>
      <c r="C3" s="300" t="s">
        <v>168</v>
      </c>
      <c r="D3" s="302"/>
      <c r="E3" s="303"/>
      <c r="F3" s="300"/>
    </row>
    <row r="5" spans="1:8" ht="18" customHeight="1">
      <c r="A5" s="854" t="s">
        <v>496</v>
      </c>
      <c r="B5" s="854" t="s">
        <v>537</v>
      </c>
      <c r="C5" s="854" t="s">
        <v>548</v>
      </c>
      <c r="D5" s="854" t="s">
        <v>549</v>
      </c>
      <c r="E5" s="854" t="s">
        <v>550</v>
      </c>
      <c r="F5" s="854" t="s">
        <v>551</v>
      </c>
      <c r="G5" s="849" t="s">
        <v>93</v>
      </c>
      <c r="H5" s="850"/>
    </row>
    <row r="6" spans="1:8" ht="42.75" customHeight="1">
      <c r="A6" s="855"/>
      <c r="B6" s="855"/>
      <c r="C6" s="855"/>
      <c r="D6" s="855"/>
      <c r="E6" s="855"/>
      <c r="F6" s="855"/>
      <c r="G6" s="389" t="s">
        <v>673</v>
      </c>
      <c r="H6" s="389" t="s">
        <v>674</v>
      </c>
    </row>
    <row r="7" spans="1:8" ht="15">
      <c r="A7" s="157">
        <v>1</v>
      </c>
      <c r="B7" s="157">
        <v>2</v>
      </c>
      <c r="C7" s="157">
        <v>3</v>
      </c>
      <c r="D7" s="157">
        <v>4</v>
      </c>
      <c r="E7" s="157">
        <v>5</v>
      </c>
      <c r="F7" s="157">
        <v>6</v>
      </c>
      <c r="G7" s="394">
        <v>7</v>
      </c>
      <c r="H7" s="394">
        <v>8</v>
      </c>
    </row>
    <row r="8" spans="1:8" ht="15">
      <c r="A8" s="157">
        <v>1</v>
      </c>
      <c r="B8" s="156" t="s">
        <v>552</v>
      </c>
      <c r="C8" s="390">
        <v>3</v>
      </c>
      <c r="D8" s="390">
        <v>12</v>
      </c>
      <c r="E8" s="164">
        <v>62.5</v>
      </c>
      <c r="F8" s="391">
        <f>C8*D8*E8</f>
        <v>2250</v>
      </c>
      <c r="G8" s="391">
        <v>0</v>
      </c>
      <c r="H8" s="391">
        <v>2250</v>
      </c>
    </row>
    <row r="9" spans="1:8" ht="30" customHeight="1">
      <c r="A9" s="401">
        <v>2</v>
      </c>
      <c r="B9" s="392" t="s">
        <v>704</v>
      </c>
      <c r="C9" s="390">
        <v>4.7142</v>
      </c>
      <c r="D9" s="390">
        <v>2</v>
      </c>
      <c r="E9" s="164">
        <v>4666.67</v>
      </c>
      <c r="F9" s="391">
        <f>C9*D9*E9-0.04</f>
        <v>43999.191428</v>
      </c>
      <c r="G9" s="391">
        <f>50000-12000</f>
        <v>38000</v>
      </c>
      <c r="H9" s="391">
        <v>6000</v>
      </c>
    </row>
    <row r="10" spans="1:8" ht="26.25">
      <c r="A10" s="157">
        <v>3</v>
      </c>
      <c r="B10" s="306" t="s">
        <v>703</v>
      </c>
      <c r="C10" s="390">
        <v>5</v>
      </c>
      <c r="D10" s="390">
        <v>6</v>
      </c>
      <c r="E10" s="164">
        <v>700</v>
      </c>
      <c r="F10" s="391">
        <f>C10*D10*E10</f>
        <v>21000</v>
      </c>
      <c r="G10" s="391">
        <v>0</v>
      </c>
      <c r="H10" s="391">
        <f>16800+4200</f>
        <v>21000</v>
      </c>
    </row>
    <row r="11" spans="1:8" ht="26.25">
      <c r="A11" s="401">
        <v>4</v>
      </c>
      <c r="B11" s="392" t="s">
        <v>1047</v>
      </c>
      <c r="C11" s="390">
        <v>5</v>
      </c>
      <c r="D11" s="390">
        <v>2</v>
      </c>
      <c r="E11" s="164">
        <v>5020</v>
      </c>
      <c r="F11" s="391">
        <f>C11*D11*E11</f>
        <v>50200</v>
      </c>
      <c r="G11" s="391">
        <v>0</v>
      </c>
      <c r="H11" s="391">
        <f>34000-4000+4200-5000+16000+5000</f>
        <v>50200</v>
      </c>
    </row>
    <row r="12" spans="1:8" ht="26.25">
      <c r="A12" s="401">
        <v>5</v>
      </c>
      <c r="B12" s="392" t="s">
        <v>1049</v>
      </c>
      <c r="C12" s="390">
        <v>5</v>
      </c>
      <c r="D12" s="390">
        <v>1</v>
      </c>
      <c r="E12" s="164">
        <v>1000</v>
      </c>
      <c r="F12" s="391">
        <f>C12*D12*E12</f>
        <v>5000</v>
      </c>
      <c r="G12" s="391">
        <v>0</v>
      </c>
      <c r="H12" s="391">
        <v>5000</v>
      </c>
    </row>
    <row r="13" spans="1:8" ht="15">
      <c r="A13" s="156"/>
      <c r="B13" s="393" t="s">
        <v>545</v>
      </c>
      <c r="C13" s="157" t="s">
        <v>546</v>
      </c>
      <c r="D13" s="157" t="s">
        <v>546</v>
      </c>
      <c r="E13" s="157" t="s">
        <v>546</v>
      </c>
      <c r="F13" s="395">
        <f>SUM(F8:F12)</f>
        <v>122449.19142799999</v>
      </c>
      <c r="G13" s="395">
        <f>SUM(G8:G12)</f>
        <v>38000</v>
      </c>
      <c r="H13" s="395">
        <f>SUM(H8:H12)</f>
        <v>84450</v>
      </c>
    </row>
    <row r="16" spans="1:6" ht="15">
      <c r="A16" s="853"/>
      <c r="B16" s="853"/>
      <c r="C16" s="853"/>
      <c r="D16" s="853"/>
      <c r="E16" s="853"/>
      <c r="F16" s="853"/>
    </row>
    <row r="17" spans="1:6" ht="52.5" customHeight="1">
      <c r="A17" s="57"/>
      <c r="B17" s="57"/>
      <c r="C17" s="852"/>
      <c r="D17" s="852"/>
      <c r="E17" s="852"/>
      <c r="F17" s="852"/>
    </row>
    <row r="18" spans="1:6" ht="15">
      <c r="A18" s="396"/>
      <c r="B18" s="396"/>
      <c r="C18" s="396"/>
      <c r="D18" s="396"/>
      <c r="E18" s="396"/>
      <c r="F18" s="396"/>
    </row>
    <row r="19" spans="1:6" ht="15">
      <c r="A19" s="381"/>
      <c r="B19" s="381"/>
      <c r="C19" s="381"/>
      <c r="D19" s="381"/>
      <c r="E19" s="381"/>
      <c r="F19" s="381"/>
    </row>
    <row r="20" spans="1:6" ht="15">
      <c r="A20" s="397"/>
      <c r="B20" s="397"/>
      <c r="C20" s="397"/>
      <c r="D20" s="397"/>
      <c r="E20" s="397"/>
      <c r="F20" s="397"/>
    </row>
    <row r="21" spans="1:6" ht="65.25" customHeight="1">
      <c r="A21" s="158"/>
      <c r="B21" s="166"/>
      <c r="C21" s="398"/>
      <c r="D21" s="398"/>
      <c r="E21" s="399"/>
      <c r="F21" s="93"/>
    </row>
    <row r="22" spans="1:6" ht="15">
      <c r="A22" s="57"/>
      <c r="B22" s="400"/>
      <c r="C22" s="158"/>
      <c r="D22" s="158"/>
      <c r="E22" s="158"/>
      <c r="F22" s="93"/>
    </row>
  </sheetData>
  <sheetProtection/>
  <mergeCells count="10">
    <mergeCell ref="G5:H5"/>
    <mergeCell ref="A1:F1"/>
    <mergeCell ref="C17:F17"/>
    <mergeCell ref="A16:F16"/>
    <mergeCell ref="F5:F6"/>
    <mergeCell ref="E5:E6"/>
    <mergeCell ref="D5:D6"/>
    <mergeCell ref="C5:C6"/>
    <mergeCell ref="B5:B6"/>
    <mergeCell ref="A5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0" customWidth="1"/>
    <col min="2" max="2" width="22.140625" style="0" customWidth="1"/>
    <col min="3" max="3" width="21.140625" style="0" customWidth="1"/>
    <col min="4" max="4" width="14.421875" style="0" customWidth="1"/>
    <col min="5" max="5" width="14.8515625" style="0" customWidth="1"/>
    <col min="6" max="6" width="12.140625" style="0" customWidth="1"/>
    <col min="7" max="7" width="14.140625" style="0" customWidth="1"/>
    <col min="8" max="8" width="14.28125" style="0" customWidth="1"/>
  </cols>
  <sheetData>
    <row r="1" spans="1:10" ht="15">
      <c r="A1" s="856" t="s">
        <v>780</v>
      </c>
      <c r="B1" s="856"/>
      <c r="C1" s="856"/>
      <c r="D1" s="856"/>
      <c r="E1" s="856"/>
      <c r="F1" s="155"/>
      <c r="G1" s="155"/>
      <c r="H1" s="155"/>
      <c r="I1" s="155"/>
      <c r="J1" s="155"/>
    </row>
    <row r="2" spans="1:10" ht="33" customHeight="1">
      <c r="A2" s="421" t="s">
        <v>493</v>
      </c>
      <c r="B2" s="421"/>
      <c r="C2" s="843" t="s">
        <v>168</v>
      </c>
      <c r="D2" s="843"/>
      <c r="E2" s="843"/>
      <c r="F2" s="843"/>
      <c r="G2" s="843"/>
      <c r="H2" s="155"/>
      <c r="I2" s="155"/>
      <c r="J2" s="155"/>
    </row>
    <row r="4" spans="1:8" ht="17.25" customHeight="1">
      <c r="A4" s="854" t="s">
        <v>496</v>
      </c>
      <c r="B4" s="854" t="s">
        <v>537</v>
      </c>
      <c r="C4" s="854" t="s">
        <v>577</v>
      </c>
      <c r="D4" s="854" t="s">
        <v>134</v>
      </c>
      <c r="E4" s="854" t="s">
        <v>782</v>
      </c>
      <c r="F4" s="857" t="s">
        <v>724</v>
      </c>
      <c r="G4" s="859" t="s">
        <v>93</v>
      </c>
      <c r="H4" s="860"/>
    </row>
    <row r="5" spans="1:8" ht="116.25" customHeight="1">
      <c r="A5" s="855"/>
      <c r="B5" s="855"/>
      <c r="C5" s="855"/>
      <c r="D5" s="855"/>
      <c r="E5" s="855"/>
      <c r="F5" s="858"/>
      <c r="G5" s="412" t="s">
        <v>725</v>
      </c>
      <c r="H5" s="412" t="s">
        <v>726</v>
      </c>
    </row>
    <row r="6" spans="1:8" ht="15">
      <c r="A6" s="157">
        <v>1</v>
      </c>
      <c r="B6" s="157">
        <v>2</v>
      </c>
      <c r="C6" s="157">
        <v>3</v>
      </c>
      <c r="D6" s="157">
        <v>4</v>
      </c>
      <c r="E6" s="157">
        <v>6</v>
      </c>
      <c r="F6" s="412">
        <v>6</v>
      </c>
      <c r="G6" s="413">
        <v>7</v>
      </c>
      <c r="H6" s="413">
        <v>8</v>
      </c>
    </row>
    <row r="7" spans="1:8" ht="53.25" customHeight="1">
      <c r="A7" s="157">
        <v>1</v>
      </c>
      <c r="B7" s="306" t="s">
        <v>781</v>
      </c>
      <c r="C7" s="164">
        <v>48347.42</v>
      </c>
      <c r="D7" s="390">
        <v>4</v>
      </c>
      <c r="E7" s="391">
        <f>C7*D7</f>
        <v>193389.68</v>
      </c>
      <c r="F7" s="424">
        <v>193400</v>
      </c>
      <c r="G7" s="424">
        <v>193400</v>
      </c>
      <c r="H7" s="424">
        <v>0</v>
      </c>
    </row>
    <row r="8" spans="1:8" ht="15">
      <c r="A8" s="156"/>
      <c r="B8" s="393" t="s">
        <v>545</v>
      </c>
      <c r="C8" s="157" t="s">
        <v>546</v>
      </c>
      <c r="D8" s="157" t="s">
        <v>546</v>
      </c>
      <c r="E8" s="395">
        <f>E7</f>
        <v>193389.68</v>
      </c>
      <c r="F8" s="395">
        <f>F7</f>
        <v>193400</v>
      </c>
      <c r="G8" s="395">
        <f>G7</f>
        <v>193400</v>
      </c>
      <c r="H8" s="395">
        <f>H7</f>
        <v>0</v>
      </c>
    </row>
  </sheetData>
  <sheetProtection/>
  <mergeCells count="9">
    <mergeCell ref="A1:E1"/>
    <mergeCell ref="F4:F5"/>
    <mergeCell ref="G4:H4"/>
    <mergeCell ref="A4:A5"/>
    <mergeCell ref="B4:B5"/>
    <mergeCell ref="C4:C5"/>
    <mergeCell ref="D4:D5"/>
    <mergeCell ref="E4:E5"/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7"/>
  <sheetViews>
    <sheetView zoomScalePageLayoutView="0" workbookViewId="0" topLeftCell="A11">
      <selection activeCell="H21" sqref="H21"/>
    </sheetView>
  </sheetViews>
  <sheetFormatPr defaultColWidth="9.140625" defaultRowHeight="15" customHeight="1"/>
  <cols>
    <col min="1" max="1" width="4.8515625" style="1" customWidth="1"/>
    <col min="2" max="2" width="41.8515625" style="1" customWidth="1"/>
    <col min="3" max="3" width="18.8515625" style="1" customWidth="1"/>
    <col min="4" max="4" width="13.7109375" style="1" customWidth="1"/>
    <col min="5" max="5" width="15.00390625" style="1" customWidth="1"/>
    <col min="6" max="6" width="11.140625" style="1" customWidth="1"/>
    <col min="7" max="7" width="12.7109375" style="1" customWidth="1"/>
    <col min="8" max="8" width="14.140625" style="1" customWidth="1"/>
    <col min="9" max="16384" width="9.140625" style="1" customWidth="1"/>
  </cols>
  <sheetData>
    <row r="1" spans="1:5" ht="15" customHeight="1" hidden="1">
      <c r="A1" s="845" t="s">
        <v>573</v>
      </c>
      <c r="B1" s="845"/>
      <c r="C1" s="845"/>
      <c r="D1" s="845"/>
      <c r="E1" s="845"/>
    </row>
    <row r="2" ht="15" customHeight="1" hidden="1"/>
    <row r="3" spans="1:5" ht="32.25" customHeight="1" hidden="1">
      <c r="A3" s="1" t="s">
        <v>574</v>
      </c>
      <c r="C3" s="861" t="s">
        <v>575</v>
      </c>
      <c r="D3" s="861"/>
      <c r="E3" s="861"/>
    </row>
    <row r="4" spans="1:5" ht="25.5" customHeight="1" hidden="1">
      <c r="A4" s="1" t="s">
        <v>576</v>
      </c>
      <c r="C4" s="862" t="s">
        <v>494</v>
      </c>
      <c r="D4" s="862"/>
      <c r="E4" s="862"/>
    </row>
    <row r="5" ht="15" customHeight="1" hidden="1"/>
    <row r="6" spans="1:5" ht="34.5" customHeight="1" hidden="1">
      <c r="A6" s="63" t="s">
        <v>496</v>
      </c>
      <c r="B6" s="63" t="s">
        <v>340</v>
      </c>
      <c r="C6" s="74" t="s">
        <v>577</v>
      </c>
      <c r="D6" s="74" t="s">
        <v>578</v>
      </c>
      <c r="E6" s="74" t="s">
        <v>579</v>
      </c>
    </row>
    <row r="7" spans="1:5" ht="15" customHeight="1" hidden="1">
      <c r="A7" s="80">
        <v>1</v>
      </c>
      <c r="B7" s="80">
        <v>2</v>
      </c>
      <c r="C7" s="80">
        <v>3</v>
      </c>
      <c r="D7" s="80">
        <v>4</v>
      </c>
      <c r="E7" s="80">
        <v>5</v>
      </c>
    </row>
    <row r="8" spans="1:5" ht="39" customHeight="1" hidden="1">
      <c r="A8" s="68">
        <v>1</v>
      </c>
      <c r="B8" s="81" t="s">
        <v>580</v>
      </c>
      <c r="C8" s="72"/>
      <c r="D8" s="82">
        <v>2</v>
      </c>
      <c r="E8" s="72">
        <f>C8*D8</f>
        <v>0</v>
      </c>
    </row>
    <row r="9" spans="1:5" ht="15" customHeight="1" hidden="1">
      <c r="A9" s="68">
        <v>2</v>
      </c>
      <c r="B9" s="3"/>
      <c r="C9" s="72"/>
      <c r="D9" s="72"/>
      <c r="E9" s="72">
        <f>C9*D9</f>
        <v>0</v>
      </c>
    </row>
    <row r="10" spans="1:5" ht="15" customHeight="1" hidden="1">
      <c r="A10" s="70"/>
      <c r="B10" s="79" t="s">
        <v>545</v>
      </c>
      <c r="C10" s="64" t="s">
        <v>546</v>
      </c>
      <c r="D10" s="64" t="s">
        <v>546</v>
      </c>
      <c r="E10" s="72">
        <f>SUM(E8:E9)</f>
        <v>0</v>
      </c>
    </row>
    <row r="12" spans="1:5" ht="15" customHeight="1">
      <c r="A12" s="845" t="s">
        <v>581</v>
      </c>
      <c r="B12" s="845"/>
      <c r="C12" s="845"/>
      <c r="D12" s="845"/>
      <c r="E12" s="845"/>
    </row>
    <row r="14" spans="1:5" ht="45.75" customHeight="1">
      <c r="A14" s="1" t="s">
        <v>574</v>
      </c>
      <c r="C14" s="861" t="s">
        <v>1007</v>
      </c>
      <c r="D14" s="861"/>
      <c r="E14" s="861"/>
    </row>
    <row r="15" spans="1:5" ht="48.75" customHeight="1">
      <c r="A15" s="1" t="s">
        <v>576</v>
      </c>
      <c r="C15" s="862" t="s">
        <v>494</v>
      </c>
      <c r="D15" s="862"/>
      <c r="E15" s="862"/>
    </row>
    <row r="17" spans="1:8" ht="15.75" customHeight="1">
      <c r="A17" s="822" t="s">
        <v>496</v>
      </c>
      <c r="B17" s="822" t="s">
        <v>537</v>
      </c>
      <c r="C17" s="822" t="s">
        <v>582</v>
      </c>
      <c r="D17" s="822" t="s">
        <v>583</v>
      </c>
      <c r="E17" s="863" t="s">
        <v>584</v>
      </c>
      <c r="F17" s="857" t="s">
        <v>724</v>
      </c>
      <c r="G17" s="859" t="s">
        <v>93</v>
      </c>
      <c r="H17" s="860"/>
    </row>
    <row r="18" spans="1:8" ht="107.25" customHeight="1">
      <c r="A18" s="824"/>
      <c r="B18" s="824"/>
      <c r="C18" s="824"/>
      <c r="D18" s="824"/>
      <c r="E18" s="864"/>
      <c r="F18" s="858"/>
      <c r="G18" s="412" t="s">
        <v>725</v>
      </c>
      <c r="H18" s="412" t="s">
        <v>726</v>
      </c>
    </row>
    <row r="19" spans="1:8" ht="15" customHeight="1">
      <c r="A19" s="415">
        <v>1</v>
      </c>
      <c r="B19" s="415">
        <v>2</v>
      </c>
      <c r="C19" s="415">
        <v>3</v>
      </c>
      <c r="D19" s="415">
        <v>4</v>
      </c>
      <c r="E19" s="415">
        <v>5</v>
      </c>
      <c r="F19" s="412">
        <v>6</v>
      </c>
      <c r="G19" s="413">
        <v>7</v>
      </c>
      <c r="H19" s="413">
        <v>8</v>
      </c>
    </row>
    <row r="20" spans="1:8" ht="15" customHeight="1">
      <c r="A20" s="415">
        <v>1</v>
      </c>
      <c r="B20" s="416" t="s">
        <v>997</v>
      </c>
      <c r="C20" s="669">
        <v>0</v>
      </c>
      <c r="D20" s="670">
        <v>0</v>
      </c>
      <c r="E20" s="670">
        <v>0</v>
      </c>
      <c r="F20" s="414">
        <f>117611.46</f>
        <v>117611.46</v>
      </c>
      <c r="G20" s="414">
        <f>117611.46</f>
        <v>117611.46</v>
      </c>
      <c r="H20" s="414">
        <v>0</v>
      </c>
    </row>
    <row r="21" spans="1:8" ht="15" customHeight="1">
      <c r="A21" s="415" t="s">
        <v>314</v>
      </c>
      <c r="B21" s="416" t="s">
        <v>585</v>
      </c>
      <c r="C21" s="417">
        <f>E21/D21%</f>
        <v>14163272.727272727</v>
      </c>
      <c r="D21" s="416">
        <v>2.2</v>
      </c>
      <c r="E21" s="418">
        <f>392192-10000-16000-54600</f>
        <v>311592</v>
      </c>
      <c r="F21" s="414">
        <f>392200-10000-16000-54600</f>
        <v>311600</v>
      </c>
      <c r="G21" s="414">
        <v>251000</v>
      </c>
      <c r="H21" s="414">
        <f>141200-10000-16000-54600</f>
        <v>60600</v>
      </c>
    </row>
    <row r="22" spans="1:8" ht="15" customHeight="1">
      <c r="A22" s="415">
        <v>3</v>
      </c>
      <c r="B22" s="81" t="s">
        <v>586</v>
      </c>
      <c r="C22" s="417">
        <v>2697666.6666</v>
      </c>
      <c r="D22" s="416">
        <v>1.5</v>
      </c>
      <c r="E22" s="418">
        <f>C22*D22/100</f>
        <v>40464.999999</v>
      </c>
      <c r="F22" s="414">
        <f>2854700-200300-2247865-366070</f>
        <v>40465</v>
      </c>
      <c r="G22" s="414">
        <f>2854700-200300-2247865-366070</f>
        <v>40465</v>
      </c>
      <c r="H22" s="414">
        <v>0</v>
      </c>
    </row>
    <row r="23" spans="1:8" ht="15" customHeight="1">
      <c r="A23" s="415">
        <v>4</v>
      </c>
      <c r="B23" s="416" t="s">
        <v>728</v>
      </c>
      <c r="C23" s="416">
        <v>0</v>
      </c>
      <c r="D23" s="416">
        <v>0</v>
      </c>
      <c r="E23" s="418">
        <v>10500</v>
      </c>
      <c r="F23" s="414">
        <v>10500</v>
      </c>
      <c r="G23" s="414">
        <v>0</v>
      </c>
      <c r="H23" s="414">
        <f>12000-1500</f>
        <v>10500</v>
      </c>
    </row>
    <row r="24" spans="1:8" ht="33" customHeight="1">
      <c r="A24" s="415">
        <v>5</v>
      </c>
      <c r="B24" s="81" t="s">
        <v>1005</v>
      </c>
      <c r="C24" s="416">
        <v>0</v>
      </c>
      <c r="D24" s="416">
        <v>0</v>
      </c>
      <c r="E24" s="418">
        <v>181934.97</v>
      </c>
      <c r="F24" s="718">
        <v>182000</v>
      </c>
      <c r="G24" s="718">
        <v>0</v>
      </c>
      <c r="H24" s="718">
        <v>182000</v>
      </c>
    </row>
    <row r="25" spans="1:8" ht="33" customHeight="1">
      <c r="A25" s="415">
        <v>6</v>
      </c>
      <c r="B25" s="81" t="s">
        <v>1012</v>
      </c>
      <c r="C25" s="416">
        <v>0</v>
      </c>
      <c r="D25" s="416">
        <v>0</v>
      </c>
      <c r="E25" s="418">
        <v>10000</v>
      </c>
      <c r="F25" s="718">
        <v>10000</v>
      </c>
      <c r="G25" s="718">
        <v>0</v>
      </c>
      <c r="H25" s="718">
        <v>10000</v>
      </c>
    </row>
    <row r="26" spans="1:8" ht="33" customHeight="1">
      <c r="A26" s="415">
        <v>7</v>
      </c>
      <c r="B26" s="81" t="s">
        <v>1108</v>
      </c>
      <c r="C26" s="416">
        <v>0</v>
      </c>
      <c r="D26" s="416">
        <v>0</v>
      </c>
      <c r="E26" s="418">
        <v>1500</v>
      </c>
      <c r="F26" s="718">
        <v>1500</v>
      </c>
      <c r="G26" s="718">
        <v>0</v>
      </c>
      <c r="H26" s="718">
        <v>1500</v>
      </c>
    </row>
    <row r="27" spans="1:8" ht="15" customHeight="1">
      <c r="A27" s="415"/>
      <c r="B27" s="422" t="s">
        <v>727</v>
      </c>
      <c r="C27" s="416"/>
      <c r="D27" s="416"/>
      <c r="E27" s="418"/>
      <c r="F27" s="420">
        <f>SUM(F20:F26)</f>
        <v>673676.46</v>
      </c>
      <c r="G27" s="420">
        <f>SUM(G20:G26)</f>
        <v>409076.46</v>
      </c>
      <c r="H27" s="420">
        <f>SUM(H20:H26)</f>
        <v>264600</v>
      </c>
    </row>
  </sheetData>
  <sheetProtection selectLockedCells="1" selectUnlockedCells="1"/>
  <mergeCells count="13">
    <mergeCell ref="F17:F18"/>
    <mergeCell ref="G17:H17"/>
    <mergeCell ref="A17:A18"/>
    <mergeCell ref="B17:B18"/>
    <mergeCell ref="C17:C18"/>
    <mergeCell ref="D17:D18"/>
    <mergeCell ref="E17:E18"/>
    <mergeCell ref="A1:E1"/>
    <mergeCell ref="C3:E3"/>
    <mergeCell ref="C4:E4"/>
    <mergeCell ref="A12:E12"/>
    <mergeCell ref="C14:E14"/>
    <mergeCell ref="C15:E15"/>
  </mergeCells>
  <printOptions/>
  <pageMargins left="0.75" right="0.75" top="0.5701388888888889" bottom="0.2798611111111111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60"/>
  <sheetViews>
    <sheetView view="pageBreakPreview" zoomScale="75" zoomScaleSheetLayoutView="75" zoomScalePageLayoutView="0" workbookViewId="0" topLeftCell="A1">
      <selection activeCell="H17" sqref="H17"/>
    </sheetView>
  </sheetViews>
  <sheetFormatPr defaultColWidth="9.140625" defaultRowHeight="15" customHeight="1"/>
  <cols>
    <col min="1" max="1" width="6.00390625" style="1" customWidth="1"/>
    <col min="2" max="2" width="32.7109375" style="1" customWidth="1"/>
    <col min="3" max="3" width="91.421875" style="1" customWidth="1"/>
    <col min="4" max="4" width="21.00390625" style="1" customWidth="1"/>
    <col min="5" max="5" width="17.00390625" style="1" customWidth="1"/>
    <col min="6" max="6" width="16.28125" style="168" customWidth="1"/>
    <col min="7" max="16384" width="9.140625" style="1" customWidth="1"/>
  </cols>
  <sheetData>
    <row r="1" spans="1:5" ht="28.5" customHeight="1">
      <c r="A1" s="865" t="s">
        <v>856</v>
      </c>
      <c r="B1" s="865"/>
      <c r="C1" s="865"/>
      <c r="D1" s="865"/>
      <c r="E1" s="865"/>
    </row>
    <row r="2" spans="1:5" ht="36" customHeight="1">
      <c r="A2" s="73" t="s">
        <v>491</v>
      </c>
      <c r="C2" s="861" t="s">
        <v>553</v>
      </c>
      <c r="D2" s="861"/>
      <c r="E2" s="861"/>
    </row>
    <row r="3" spans="1:6" ht="21" customHeight="1">
      <c r="A3" s="1" t="s">
        <v>493</v>
      </c>
      <c r="C3" s="866" t="s">
        <v>494</v>
      </c>
      <c r="D3" s="866"/>
      <c r="E3" s="866"/>
      <c r="F3" s="866"/>
    </row>
    <row r="5" spans="1:6" ht="63.75" customHeight="1">
      <c r="A5" s="63" t="s">
        <v>496</v>
      </c>
      <c r="B5" s="867" t="s">
        <v>554</v>
      </c>
      <c r="C5" s="867"/>
      <c r="D5" s="74" t="s">
        <v>555</v>
      </c>
      <c r="E5" s="154" t="s">
        <v>556</v>
      </c>
      <c r="F5" s="171" t="s">
        <v>222</v>
      </c>
    </row>
    <row r="6" spans="1:6" s="75" customFormat="1" ht="11.25" customHeight="1">
      <c r="A6" s="59">
        <v>1</v>
      </c>
      <c r="B6" s="870">
        <v>2</v>
      </c>
      <c r="C6" s="870"/>
      <c r="D6" s="59">
        <v>3</v>
      </c>
      <c r="E6" s="150">
        <v>4</v>
      </c>
      <c r="F6" s="172">
        <v>5</v>
      </c>
    </row>
    <row r="7" spans="1:6" ht="15" customHeight="1">
      <c r="A7" s="64">
        <v>1</v>
      </c>
      <c r="B7" s="869" t="s">
        <v>557</v>
      </c>
      <c r="C7" s="869"/>
      <c r="D7" s="66" t="s">
        <v>546</v>
      </c>
      <c r="E7" s="151">
        <f>E8</f>
        <v>1899920</v>
      </c>
      <c r="F7" s="169"/>
    </row>
    <row r="8" spans="1:6" ht="19.5" customHeight="1">
      <c r="A8" s="64" t="s">
        <v>306</v>
      </c>
      <c r="B8" s="871" t="s">
        <v>558</v>
      </c>
      <c r="C8" s="871"/>
      <c r="D8" s="76">
        <f>8624000+12000</f>
        <v>8636000</v>
      </c>
      <c r="E8" s="152">
        <f>D8*22/100</f>
        <v>1899920</v>
      </c>
      <c r="F8" s="169"/>
    </row>
    <row r="9" spans="1:6" ht="15" customHeight="1">
      <c r="A9" s="64" t="s">
        <v>330</v>
      </c>
      <c r="B9" s="871" t="s">
        <v>559</v>
      </c>
      <c r="C9" s="871"/>
      <c r="D9" s="77">
        <v>0</v>
      </c>
      <c r="E9" s="153">
        <v>0</v>
      </c>
      <c r="F9" s="169"/>
    </row>
    <row r="10" spans="1:6" ht="15" customHeight="1">
      <c r="A10" s="64" t="s">
        <v>560</v>
      </c>
      <c r="B10" s="868" t="s">
        <v>561</v>
      </c>
      <c r="C10" s="868"/>
      <c r="D10" s="77">
        <v>0</v>
      </c>
      <c r="E10" s="153">
        <v>0</v>
      </c>
      <c r="F10" s="169"/>
    </row>
    <row r="11" spans="1:6" ht="18.75" customHeight="1">
      <c r="A11" s="64">
        <v>2</v>
      </c>
      <c r="B11" s="869" t="s">
        <v>562</v>
      </c>
      <c r="C11" s="869"/>
      <c r="D11" s="64" t="s">
        <v>546</v>
      </c>
      <c r="E11" s="151">
        <f>E12+E14</f>
        <v>267716</v>
      </c>
      <c r="F11" s="169"/>
    </row>
    <row r="12" spans="1:6" ht="38.25" customHeight="1">
      <c r="A12" s="64" t="s">
        <v>563</v>
      </c>
      <c r="B12" s="868" t="s">
        <v>167</v>
      </c>
      <c r="C12" s="868"/>
      <c r="D12" s="76">
        <f>D8</f>
        <v>8636000</v>
      </c>
      <c r="E12" s="152">
        <f>D12*2.9/100</f>
        <v>250444</v>
      </c>
      <c r="F12" s="169"/>
    </row>
    <row r="13" spans="1:6" ht="15" customHeight="1">
      <c r="A13" s="64" t="s">
        <v>564</v>
      </c>
      <c r="B13" s="868" t="s">
        <v>565</v>
      </c>
      <c r="C13" s="868"/>
      <c r="D13" s="76">
        <v>0</v>
      </c>
      <c r="E13" s="152">
        <f>D13*2.9/100</f>
        <v>0</v>
      </c>
      <c r="F13" s="169"/>
    </row>
    <row r="14" spans="1:6" ht="15" customHeight="1">
      <c r="A14" s="64" t="s">
        <v>566</v>
      </c>
      <c r="B14" s="868" t="s">
        <v>567</v>
      </c>
      <c r="C14" s="868"/>
      <c r="D14" s="76">
        <f>D8</f>
        <v>8636000</v>
      </c>
      <c r="E14" s="152">
        <f>D14*0.2/100</f>
        <v>17272</v>
      </c>
      <c r="F14" s="169"/>
    </row>
    <row r="15" spans="1:6" ht="15" customHeight="1">
      <c r="A15" s="64" t="s">
        <v>568</v>
      </c>
      <c r="B15" s="873" t="s">
        <v>569</v>
      </c>
      <c r="C15" s="873"/>
      <c r="D15" s="76">
        <v>0</v>
      </c>
      <c r="E15" s="152">
        <v>0</v>
      </c>
      <c r="F15" s="169"/>
    </row>
    <row r="16" spans="1:6" ht="15" customHeight="1">
      <c r="A16" s="64" t="s">
        <v>570</v>
      </c>
      <c r="B16" s="868" t="s">
        <v>569</v>
      </c>
      <c r="C16" s="868"/>
      <c r="D16" s="76">
        <v>0</v>
      </c>
      <c r="E16" s="152">
        <v>0</v>
      </c>
      <c r="F16" s="169"/>
    </row>
    <row r="17" spans="1:6" ht="15" customHeight="1">
      <c r="A17" s="64">
        <v>3</v>
      </c>
      <c r="B17" s="869" t="s">
        <v>571</v>
      </c>
      <c r="C17" s="869"/>
      <c r="D17" s="76">
        <f>D14</f>
        <v>8636000</v>
      </c>
      <c r="E17" s="151">
        <f>D17*5.1/100</f>
        <v>440436</v>
      </c>
      <c r="F17" s="169"/>
    </row>
    <row r="18" spans="1:6" ht="21" customHeight="1">
      <c r="A18" s="78"/>
      <c r="B18" s="872" t="s">
        <v>658</v>
      </c>
      <c r="C18" s="872"/>
      <c r="D18" s="64" t="s">
        <v>546</v>
      </c>
      <c r="E18" s="151">
        <f>E7+E11+E17-406000</f>
        <v>2202072</v>
      </c>
      <c r="F18" s="636">
        <f>2213500</f>
        <v>2213500</v>
      </c>
    </row>
    <row r="19" spans="1:6" ht="21" customHeight="1">
      <c r="A19" s="78"/>
      <c r="B19" s="872" t="s">
        <v>659</v>
      </c>
      <c r="C19" s="872"/>
      <c r="D19" s="64" t="s">
        <v>546</v>
      </c>
      <c r="E19" s="151">
        <v>406000</v>
      </c>
      <c r="F19" s="636">
        <v>406000</v>
      </c>
    </row>
    <row r="20" ht="16.5" customHeight="1" hidden="1">
      <c r="F20" s="169"/>
    </row>
    <row r="21" spans="1:6" ht="21" customHeight="1" hidden="1">
      <c r="A21" s="1" t="s">
        <v>493</v>
      </c>
      <c r="C21" s="861" t="s">
        <v>531</v>
      </c>
      <c r="D21" s="861"/>
      <c r="E21" s="861"/>
      <c r="F21" s="169"/>
    </row>
    <row r="22" ht="15" customHeight="1" hidden="1">
      <c r="F22" s="169"/>
    </row>
    <row r="23" spans="1:6" ht="63.75" customHeight="1" hidden="1">
      <c r="A23" s="63" t="s">
        <v>496</v>
      </c>
      <c r="B23" s="867" t="s">
        <v>554</v>
      </c>
      <c r="C23" s="867"/>
      <c r="D23" s="74" t="s">
        <v>555</v>
      </c>
      <c r="E23" s="154" t="s">
        <v>556</v>
      </c>
      <c r="F23" s="169"/>
    </row>
    <row r="24" spans="1:6" ht="15" customHeight="1" hidden="1">
      <c r="A24" s="59">
        <v>1</v>
      </c>
      <c r="B24" s="870">
        <v>2</v>
      </c>
      <c r="C24" s="870"/>
      <c r="D24" s="59">
        <v>3</v>
      </c>
      <c r="E24" s="150">
        <v>4</v>
      </c>
      <c r="F24" s="169"/>
    </row>
    <row r="25" spans="1:6" ht="15" customHeight="1">
      <c r="A25" s="64">
        <v>1</v>
      </c>
      <c r="B25" s="869" t="s">
        <v>557</v>
      </c>
      <c r="C25" s="869"/>
      <c r="D25" s="66" t="s">
        <v>546</v>
      </c>
      <c r="E25" s="151">
        <f>E26</f>
        <v>1174492</v>
      </c>
      <c r="F25" s="169"/>
    </row>
    <row r="26" spans="1:6" ht="15" customHeight="1">
      <c r="A26" s="64" t="s">
        <v>306</v>
      </c>
      <c r="B26" s="871" t="s">
        <v>558</v>
      </c>
      <c r="C26" s="871"/>
      <c r="D26" s="76">
        <f>5478600-140000</f>
        <v>5338600</v>
      </c>
      <c r="E26" s="152">
        <f>D26*22/100</f>
        <v>1174492</v>
      </c>
      <c r="F26" s="169"/>
    </row>
    <row r="27" spans="1:6" ht="15" customHeight="1">
      <c r="A27" s="64" t="s">
        <v>330</v>
      </c>
      <c r="B27" s="871" t="s">
        <v>559</v>
      </c>
      <c r="C27" s="871"/>
      <c r="D27" s="76">
        <v>0</v>
      </c>
      <c r="E27" s="152">
        <f>D27*22/100</f>
        <v>0</v>
      </c>
      <c r="F27" s="169"/>
    </row>
    <row r="28" spans="1:6" ht="15" customHeight="1">
      <c r="A28" s="64" t="s">
        <v>560</v>
      </c>
      <c r="B28" s="868" t="s">
        <v>561</v>
      </c>
      <c r="C28" s="868"/>
      <c r="D28" s="76">
        <v>0</v>
      </c>
      <c r="E28" s="152">
        <f>D28*22/100</f>
        <v>0</v>
      </c>
      <c r="F28" s="169"/>
    </row>
    <row r="29" spans="1:6" ht="15" customHeight="1">
      <c r="A29" s="64">
        <v>2</v>
      </c>
      <c r="B29" s="869" t="s">
        <v>562</v>
      </c>
      <c r="C29" s="869"/>
      <c r="D29" s="66" t="s">
        <v>546</v>
      </c>
      <c r="E29" s="151">
        <f>E30+E32</f>
        <v>165496.6</v>
      </c>
      <c r="F29" s="169"/>
    </row>
    <row r="30" spans="1:6" ht="30.75" customHeight="1">
      <c r="A30" s="64" t="s">
        <v>563</v>
      </c>
      <c r="B30" s="868" t="s">
        <v>167</v>
      </c>
      <c r="C30" s="868"/>
      <c r="D30" s="76">
        <f>D26</f>
        <v>5338600</v>
      </c>
      <c r="E30" s="152">
        <f>D30*2.9/100</f>
        <v>154819.4</v>
      </c>
      <c r="F30" s="169"/>
    </row>
    <row r="31" spans="1:6" ht="15" customHeight="1">
      <c r="A31" s="64" t="s">
        <v>564</v>
      </c>
      <c r="B31" s="868" t="s">
        <v>565</v>
      </c>
      <c r="C31" s="868"/>
      <c r="D31" s="76">
        <v>0</v>
      </c>
      <c r="E31" s="152"/>
      <c r="F31" s="169"/>
    </row>
    <row r="32" spans="1:6" ht="15" customHeight="1">
      <c r="A32" s="64" t="s">
        <v>566</v>
      </c>
      <c r="B32" s="868" t="s">
        <v>567</v>
      </c>
      <c r="C32" s="868"/>
      <c r="D32" s="76">
        <f>D26</f>
        <v>5338600</v>
      </c>
      <c r="E32" s="152">
        <f>D32*0.2/100</f>
        <v>10677.2</v>
      </c>
      <c r="F32" s="169"/>
    </row>
    <row r="33" spans="1:6" ht="15" customHeight="1">
      <c r="A33" s="64" t="s">
        <v>568</v>
      </c>
      <c r="B33" s="873" t="s">
        <v>569</v>
      </c>
      <c r="C33" s="873"/>
      <c r="D33" s="76">
        <v>0</v>
      </c>
      <c r="E33" s="152">
        <v>0</v>
      </c>
      <c r="F33" s="169"/>
    </row>
    <row r="34" spans="1:6" ht="15" customHeight="1">
      <c r="A34" s="64" t="s">
        <v>570</v>
      </c>
      <c r="B34" s="868" t="s">
        <v>569</v>
      </c>
      <c r="C34" s="868"/>
      <c r="D34" s="76">
        <v>0</v>
      </c>
      <c r="E34" s="152">
        <v>0</v>
      </c>
      <c r="F34" s="169"/>
    </row>
    <row r="35" spans="1:6" ht="15" customHeight="1">
      <c r="A35" s="64">
        <v>3</v>
      </c>
      <c r="B35" s="869" t="s">
        <v>571</v>
      </c>
      <c r="C35" s="869"/>
      <c r="D35" s="76">
        <f>D32</f>
        <v>5338600</v>
      </c>
      <c r="E35" s="151">
        <f>D35*5.1/100</f>
        <v>272268.6</v>
      </c>
      <c r="F35" s="169"/>
    </row>
    <row r="36" spans="1:7" ht="15" customHeight="1" hidden="1">
      <c r="A36" s="78"/>
      <c r="B36" s="872" t="s">
        <v>232</v>
      </c>
      <c r="C36" s="872"/>
      <c r="D36" s="66" t="s">
        <v>546</v>
      </c>
      <c r="E36" s="170">
        <f>E25+E29+E35</f>
        <v>1612257.2000000002</v>
      </c>
      <c r="F36" s="370">
        <v>1677126.67</v>
      </c>
      <c r="G36" s="173"/>
    </row>
    <row r="37" spans="1:6" ht="15" customHeight="1" hidden="1">
      <c r="A37" s="64">
        <v>1</v>
      </c>
      <c r="B37" s="869" t="s">
        <v>557</v>
      </c>
      <c r="C37" s="869"/>
      <c r="D37" s="66" t="s">
        <v>546</v>
      </c>
      <c r="E37" s="151">
        <f>E38</f>
        <v>0</v>
      </c>
      <c r="F37" s="169"/>
    </row>
    <row r="38" spans="1:6" ht="15" customHeight="1" hidden="1">
      <c r="A38" s="64" t="s">
        <v>306</v>
      </c>
      <c r="B38" s="871" t="s">
        <v>558</v>
      </c>
      <c r="C38" s="871"/>
      <c r="D38" s="76">
        <v>38402.46</v>
      </c>
      <c r="E38" s="152"/>
      <c r="F38" s="169"/>
    </row>
    <row r="39" spans="1:6" ht="15" customHeight="1" hidden="1">
      <c r="A39" s="64" t="s">
        <v>330</v>
      </c>
      <c r="B39" s="871" t="s">
        <v>559</v>
      </c>
      <c r="C39" s="871"/>
      <c r="D39" s="76">
        <v>0</v>
      </c>
      <c r="E39" s="152"/>
      <c r="F39" s="169"/>
    </row>
    <row r="40" spans="1:6" ht="15" customHeight="1" hidden="1">
      <c r="A40" s="64" t="s">
        <v>560</v>
      </c>
      <c r="B40" s="868" t="s">
        <v>561</v>
      </c>
      <c r="C40" s="868"/>
      <c r="D40" s="76">
        <v>0</v>
      </c>
      <c r="E40" s="152"/>
      <c r="F40" s="169"/>
    </row>
    <row r="41" spans="1:6" ht="15" customHeight="1" hidden="1">
      <c r="A41" s="64">
        <v>2</v>
      </c>
      <c r="B41" s="869" t="s">
        <v>562</v>
      </c>
      <c r="C41" s="869"/>
      <c r="D41" s="66" t="s">
        <v>546</v>
      </c>
      <c r="E41" s="151">
        <f>E42+E44</f>
        <v>0</v>
      </c>
      <c r="F41" s="169"/>
    </row>
    <row r="42" spans="1:6" ht="30.75" customHeight="1" hidden="1">
      <c r="A42" s="64" t="s">
        <v>563</v>
      </c>
      <c r="B42" s="868" t="s">
        <v>167</v>
      </c>
      <c r="C42" s="868"/>
      <c r="D42" s="76">
        <f>D38</f>
        <v>38402.46</v>
      </c>
      <c r="E42" s="152"/>
      <c r="F42" s="169"/>
    </row>
    <row r="43" spans="1:6" ht="15" customHeight="1" hidden="1">
      <c r="A43" s="64" t="s">
        <v>564</v>
      </c>
      <c r="B43" s="868" t="s">
        <v>565</v>
      </c>
      <c r="C43" s="868"/>
      <c r="D43" s="76">
        <v>0</v>
      </c>
      <c r="E43" s="152"/>
      <c r="F43" s="169"/>
    </row>
    <row r="44" spans="1:6" ht="15" customHeight="1" hidden="1">
      <c r="A44" s="64" t="s">
        <v>566</v>
      </c>
      <c r="B44" s="868" t="s">
        <v>567</v>
      </c>
      <c r="C44" s="868"/>
      <c r="D44" s="76">
        <f>D42</f>
        <v>38402.46</v>
      </c>
      <c r="E44" s="152"/>
      <c r="F44" s="169"/>
    </row>
    <row r="45" spans="1:6" ht="15" customHeight="1" hidden="1">
      <c r="A45" s="64" t="s">
        <v>568</v>
      </c>
      <c r="B45" s="873" t="s">
        <v>569</v>
      </c>
      <c r="C45" s="873"/>
      <c r="D45" s="76">
        <v>0</v>
      </c>
      <c r="E45" s="152"/>
      <c r="F45" s="169"/>
    </row>
    <row r="46" spans="1:6" ht="15" customHeight="1" hidden="1">
      <c r="A46" s="64" t="s">
        <v>570</v>
      </c>
      <c r="B46" s="868" t="s">
        <v>569</v>
      </c>
      <c r="C46" s="868"/>
      <c r="D46" s="76">
        <v>0</v>
      </c>
      <c r="E46" s="152"/>
      <c r="F46" s="169"/>
    </row>
    <row r="47" spans="1:6" ht="15" customHeight="1" hidden="1">
      <c r="A47" s="64">
        <v>3</v>
      </c>
      <c r="B47" s="869" t="s">
        <v>571</v>
      </c>
      <c r="C47" s="869"/>
      <c r="D47" s="76">
        <f>D44</f>
        <v>38402.46</v>
      </c>
      <c r="E47" s="151"/>
      <c r="F47" s="169"/>
    </row>
    <row r="48" spans="1:6" ht="15" customHeight="1" hidden="1">
      <c r="A48" s="78"/>
      <c r="B48" s="872" t="s">
        <v>220</v>
      </c>
      <c r="C48" s="872"/>
      <c r="D48" s="66" t="s">
        <v>546</v>
      </c>
      <c r="E48" s="151">
        <f>E37+E41+E47</f>
        <v>0</v>
      </c>
      <c r="F48" s="169"/>
    </row>
    <row r="49" spans="1:6" ht="15" customHeight="1">
      <c r="A49" s="78"/>
      <c r="B49" s="872" t="s">
        <v>229</v>
      </c>
      <c r="C49" s="872"/>
      <c r="D49" s="66" t="s">
        <v>546</v>
      </c>
      <c r="E49" s="151">
        <f>E48+E36</f>
        <v>1612257.2000000002</v>
      </c>
      <c r="F49" s="169">
        <f>1647526.67-42000</f>
        <v>1605526.67</v>
      </c>
    </row>
    <row r="50" spans="1:8" ht="15" customHeight="1">
      <c r="A50" s="78"/>
      <c r="B50" s="872" t="s">
        <v>231</v>
      </c>
      <c r="C50" s="872"/>
      <c r="D50" s="66" t="s">
        <v>546</v>
      </c>
      <c r="E50" s="151">
        <f>E36+E18+E48+E19</f>
        <v>4220329.2</v>
      </c>
      <c r="F50" s="169">
        <f>F19+F49+F18</f>
        <v>4225026.67</v>
      </c>
      <c r="H50" s="1" t="s">
        <v>95</v>
      </c>
    </row>
    <row r="52" spans="1:5" ht="23.25" customHeight="1">
      <c r="A52" s="876" t="s">
        <v>572</v>
      </c>
      <c r="B52" s="876"/>
      <c r="C52" s="876"/>
      <c r="D52" s="876"/>
      <c r="E52" s="876"/>
    </row>
    <row r="53" spans="1:5" ht="15" customHeight="1" hidden="1">
      <c r="A53" s="875" t="s">
        <v>843</v>
      </c>
      <c r="B53" s="875"/>
      <c r="C53" s="875"/>
      <c r="D53" s="875"/>
      <c r="E53" s="875"/>
    </row>
    <row r="54" spans="1:5" ht="10.5" customHeight="1" hidden="1">
      <c r="A54" s="875"/>
      <c r="B54" s="875"/>
      <c r="C54" s="875"/>
      <c r="D54" s="875"/>
      <c r="E54" s="875"/>
    </row>
    <row r="55" spans="1:5" ht="15" customHeight="1" hidden="1">
      <c r="A55" s="875"/>
      <c r="B55" s="875"/>
      <c r="C55" s="875"/>
      <c r="D55" s="875"/>
      <c r="E55" s="875"/>
    </row>
    <row r="56" spans="1:5" ht="15" customHeight="1" hidden="1">
      <c r="A56" s="875"/>
      <c r="B56" s="875"/>
      <c r="C56" s="875"/>
      <c r="D56" s="875"/>
      <c r="E56" s="875"/>
    </row>
    <row r="57" spans="1:5" ht="15" customHeight="1" hidden="1">
      <c r="A57" s="874" t="s">
        <v>221</v>
      </c>
      <c r="B57" s="874"/>
      <c r="C57" s="874"/>
      <c r="D57" s="874"/>
      <c r="E57" s="874"/>
    </row>
    <row r="58" spans="1:5" ht="15" customHeight="1" hidden="1">
      <c r="A58" s="874"/>
      <c r="B58" s="874"/>
      <c r="C58" s="874"/>
      <c r="D58" s="874"/>
      <c r="E58" s="874"/>
    </row>
    <row r="59" spans="1:5" ht="3.75" customHeight="1" hidden="1">
      <c r="A59" s="874"/>
      <c r="B59" s="874"/>
      <c r="C59" s="874"/>
      <c r="D59" s="874"/>
      <c r="E59" s="874"/>
    </row>
    <row r="60" ht="15" customHeight="1" hidden="1">
      <c r="A60" s="119" t="s">
        <v>228</v>
      </c>
    </row>
  </sheetData>
  <sheetProtection selectLockedCells="1" selectUnlockedCells="1"/>
  <mergeCells count="50">
    <mergeCell ref="A57:E59"/>
    <mergeCell ref="B43:C43"/>
    <mergeCell ref="B44:C44"/>
    <mergeCell ref="B45:C45"/>
    <mergeCell ref="B46:C46"/>
    <mergeCell ref="B47:C47"/>
    <mergeCell ref="B48:C48"/>
    <mergeCell ref="B49:C49"/>
    <mergeCell ref="A53:E56"/>
    <mergeCell ref="A52:E52"/>
    <mergeCell ref="B30:C30"/>
    <mergeCell ref="B31:C31"/>
    <mergeCell ref="B32:C32"/>
    <mergeCell ref="B40:C40"/>
    <mergeCell ref="B35:C35"/>
    <mergeCell ref="B36:C36"/>
    <mergeCell ref="B50:C50"/>
    <mergeCell ref="B41:C41"/>
    <mergeCell ref="B42:C42"/>
    <mergeCell ref="B37:C37"/>
    <mergeCell ref="B38:C38"/>
    <mergeCell ref="B39:C39"/>
    <mergeCell ref="C21:E21"/>
    <mergeCell ref="B34:C34"/>
    <mergeCell ref="B23:C23"/>
    <mergeCell ref="B24:C24"/>
    <mergeCell ref="B25:C25"/>
    <mergeCell ref="B26:C26"/>
    <mergeCell ref="B27:C27"/>
    <mergeCell ref="B28:C28"/>
    <mergeCell ref="B33:C33"/>
    <mergeCell ref="B29:C29"/>
    <mergeCell ref="B16:C16"/>
    <mergeCell ref="B17:C17"/>
    <mergeCell ref="B18:C18"/>
    <mergeCell ref="B12:C12"/>
    <mergeCell ref="B13:C13"/>
    <mergeCell ref="B19:C19"/>
    <mergeCell ref="B14:C14"/>
    <mergeCell ref="B15:C15"/>
    <mergeCell ref="A1:E1"/>
    <mergeCell ref="C2:E2"/>
    <mergeCell ref="C3:F3"/>
    <mergeCell ref="B5:C5"/>
    <mergeCell ref="B10:C10"/>
    <mergeCell ref="B11:C11"/>
    <mergeCell ref="B6:C6"/>
    <mergeCell ref="B7:C7"/>
    <mergeCell ref="B8:C8"/>
    <mergeCell ref="B9:C9"/>
  </mergeCells>
  <printOptions/>
  <pageMargins left="0.6097222222222223" right="0.4597222222222222" top="0.5597222222222222" bottom="0.35" header="0.5118055555555555" footer="0.5118055555555555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1">
      <selection activeCell="F20" sqref="F20"/>
    </sheetView>
  </sheetViews>
  <sheetFormatPr defaultColWidth="9.140625" defaultRowHeight="15" customHeight="1"/>
  <cols>
    <col min="1" max="1" width="4.8515625" style="1" customWidth="1"/>
    <col min="2" max="2" width="41.8515625" style="1" customWidth="1"/>
    <col min="3" max="3" width="16.57421875" style="1" customWidth="1"/>
    <col min="4" max="4" width="13.7109375" style="1" customWidth="1"/>
    <col min="5" max="5" width="20.8515625" style="1" customWidth="1"/>
    <col min="6" max="6" width="38.7109375" style="1" customWidth="1"/>
    <col min="7" max="7" width="4.00390625" style="1" customWidth="1"/>
    <col min="8" max="16384" width="9.140625" style="1" customWidth="1"/>
  </cols>
  <sheetData>
    <row r="1" spans="1:5" ht="15" customHeight="1" hidden="1">
      <c r="A1" s="845" t="s">
        <v>589</v>
      </c>
      <c r="B1" s="845"/>
      <c r="C1" s="845"/>
      <c r="D1" s="845"/>
      <c r="E1" s="845"/>
    </row>
    <row r="2" ht="15" customHeight="1" hidden="1"/>
    <row r="3" spans="1:5" ht="32.25" customHeight="1" hidden="1">
      <c r="A3" s="1" t="s">
        <v>574</v>
      </c>
      <c r="C3" s="861"/>
      <c r="D3" s="861"/>
      <c r="E3" s="861"/>
    </row>
    <row r="4" spans="1:5" ht="25.5" customHeight="1" hidden="1">
      <c r="A4" s="1" t="s">
        <v>576</v>
      </c>
      <c r="C4" s="83"/>
      <c r="D4" s="83"/>
      <c r="E4" s="83"/>
    </row>
    <row r="5" ht="15" customHeight="1" hidden="1"/>
    <row r="6" spans="1:5" ht="34.5" customHeight="1" hidden="1">
      <c r="A6" s="63" t="s">
        <v>496</v>
      </c>
      <c r="B6" s="63" t="s">
        <v>340</v>
      </c>
      <c r="C6" s="74" t="s">
        <v>577</v>
      </c>
      <c r="D6" s="74" t="s">
        <v>578</v>
      </c>
      <c r="E6" s="74" t="s">
        <v>579</v>
      </c>
    </row>
    <row r="7" spans="1:5" ht="15" customHeight="1" hidden="1">
      <c r="A7" s="80">
        <v>1</v>
      </c>
      <c r="B7" s="80">
        <v>2</v>
      </c>
      <c r="C7" s="80">
        <v>3</v>
      </c>
      <c r="D7" s="80">
        <v>4</v>
      </c>
      <c r="E7" s="80">
        <v>5</v>
      </c>
    </row>
    <row r="8" spans="1:5" ht="15" customHeight="1" hidden="1">
      <c r="A8" s="68">
        <v>1</v>
      </c>
      <c r="B8" s="81"/>
      <c r="C8" s="72"/>
      <c r="D8" s="82"/>
      <c r="E8" s="72">
        <f>C8*D8</f>
        <v>0</v>
      </c>
    </row>
    <row r="9" spans="1:5" ht="15" customHeight="1" hidden="1">
      <c r="A9" s="68">
        <v>2</v>
      </c>
      <c r="B9" s="3"/>
      <c r="C9" s="72"/>
      <c r="D9" s="72"/>
      <c r="E9" s="72">
        <f>C9*D9</f>
        <v>0</v>
      </c>
    </row>
    <row r="10" spans="1:5" ht="15" customHeight="1" hidden="1">
      <c r="A10" s="70"/>
      <c r="B10" s="79" t="s">
        <v>545</v>
      </c>
      <c r="C10" s="64" t="s">
        <v>546</v>
      </c>
      <c r="D10" s="64" t="s">
        <v>546</v>
      </c>
      <c r="E10" s="72">
        <f>SUM(E8:E9)</f>
        <v>0</v>
      </c>
    </row>
    <row r="12" spans="1:6" ht="15" customHeight="1">
      <c r="A12" s="845" t="s">
        <v>0</v>
      </c>
      <c r="B12" s="845"/>
      <c r="C12" s="845"/>
      <c r="D12" s="845"/>
      <c r="E12" s="845"/>
      <c r="F12" s="84" t="s">
        <v>1</v>
      </c>
    </row>
    <row r="14" spans="1:7" ht="15" customHeight="1">
      <c r="A14" s="1" t="s">
        <v>574</v>
      </c>
      <c r="C14" s="861" t="s">
        <v>2</v>
      </c>
      <c r="D14" s="861"/>
      <c r="E14" s="861"/>
      <c r="F14" s="861"/>
      <c r="G14" s="861"/>
    </row>
    <row r="15" spans="1:6" ht="30.75" customHeight="1">
      <c r="A15" s="1" t="s">
        <v>576</v>
      </c>
      <c r="C15" s="862" t="s">
        <v>207</v>
      </c>
      <c r="D15" s="862"/>
      <c r="E15" s="862"/>
      <c r="F15" s="862"/>
    </row>
    <row r="17" spans="1:6" ht="45" customHeight="1">
      <c r="A17" s="63" t="s">
        <v>496</v>
      </c>
      <c r="B17" s="63" t="s">
        <v>340</v>
      </c>
      <c r="C17" s="74" t="s">
        <v>577</v>
      </c>
      <c r="D17" s="74" t="s">
        <v>578</v>
      </c>
      <c r="E17" s="74" t="s">
        <v>579</v>
      </c>
      <c r="F17" s="63" t="s">
        <v>3</v>
      </c>
    </row>
    <row r="18" spans="1:6" ht="15" customHeight="1">
      <c r="A18" s="80">
        <v>1</v>
      </c>
      <c r="B18" s="80">
        <v>2</v>
      </c>
      <c r="C18" s="80">
        <v>3</v>
      </c>
      <c r="D18" s="80">
        <v>4</v>
      </c>
      <c r="E18" s="80">
        <v>5</v>
      </c>
      <c r="F18" s="80">
        <v>6</v>
      </c>
    </row>
    <row r="19" spans="1:6" ht="75">
      <c r="A19" s="64">
        <v>1</v>
      </c>
      <c r="B19" s="174" t="s">
        <v>4</v>
      </c>
      <c r="C19" s="66">
        <v>864000</v>
      </c>
      <c r="D19" s="176">
        <v>0.05</v>
      </c>
      <c r="E19" s="66">
        <f>C19*D19</f>
        <v>43200</v>
      </c>
      <c r="F19" s="98" t="s">
        <v>1097</v>
      </c>
    </row>
    <row r="20" spans="1:6" ht="45">
      <c r="A20" s="64">
        <v>2</v>
      </c>
      <c r="B20" s="175" t="s">
        <v>216</v>
      </c>
      <c r="C20" s="67">
        <v>500</v>
      </c>
      <c r="D20" s="66">
        <v>4</v>
      </c>
      <c r="E20" s="148">
        <f>C20*D20</f>
        <v>2000</v>
      </c>
      <c r="F20" s="98" t="s">
        <v>65</v>
      </c>
    </row>
    <row r="21" spans="1:6" ht="75">
      <c r="A21" s="64">
        <v>3</v>
      </c>
      <c r="B21" s="174" t="s">
        <v>66</v>
      </c>
      <c r="C21" s="67">
        <v>500</v>
      </c>
      <c r="D21" s="66">
        <v>4</v>
      </c>
      <c r="E21" s="148">
        <f>C21*D21</f>
        <v>2000</v>
      </c>
      <c r="F21" s="98" t="s">
        <v>844</v>
      </c>
    </row>
    <row r="22" spans="1:6" ht="15" customHeight="1">
      <c r="A22" s="70"/>
      <c r="B22" s="79" t="s">
        <v>5</v>
      </c>
      <c r="C22" s="64" t="s">
        <v>546</v>
      </c>
      <c r="D22" s="64" t="s">
        <v>546</v>
      </c>
      <c r="E22" s="72">
        <f>SUM(E19:E21)</f>
        <v>47200</v>
      </c>
      <c r="F22" s="70"/>
    </row>
  </sheetData>
  <sheetProtection selectLockedCells="1" selectUnlockedCells="1"/>
  <mergeCells count="5">
    <mergeCell ref="C15:F15"/>
    <mergeCell ref="A1:E1"/>
    <mergeCell ref="C3:E3"/>
    <mergeCell ref="A12:E12"/>
    <mergeCell ref="C14:G14"/>
  </mergeCells>
  <printOptions/>
  <pageMargins left="0.7479166666666667" right="0.45" top="0.9840277777777777" bottom="0.9840277777777777" header="0.5118055555555555" footer="0.5118055555555555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zoomScale="75" zoomScaleNormal="75" zoomScalePageLayoutView="0" workbookViewId="0" topLeftCell="A4">
      <selection activeCell="E11" sqref="E11"/>
    </sheetView>
  </sheetViews>
  <sheetFormatPr defaultColWidth="9.140625" defaultRowHeight="15" customHeight="1"/>
  <cols>
    <col min="1" max="1" width="5.7109375" style="1" customWidth="1"/>
    <col min="2" max="2" width="58.8515625" style="1" customWidth="1"/>
    <col min="3" max="3" width="14.8515625" style="1" customWidth="1"/>
    <col min="4" max="4" width="15.8515625" style="1" customWidth="1"/>
    <col min="5" max="5" width="15.7109375" style="1" customWidth="1"/>
    <col min="6" max="6" width="18.140625" style="1" customWidth="1"/>
    <col min="7" max="7" width="18.00390625" style="1" customWidth="1"/>
    <col min="8" max="8" width="21.140625" style="1" customWidth="1"/>
    <col min="9" max="9" width="26.421875" style="1" customWidth="1"/>
    <col min="10" max="10" width="40.28125" style="85" customWidth="1"/>
    <col min="11" max="16384" width="9.140625" style="1" customWidth="1"/>
  </cols>
  <sheetData>
    <row r="1" spans="1:9" ht="15.75" customHeight="1">
      <c r="A1" s="845" t="s">
        <v>6</v>
      </c>
      <c r="B1" s="845"/>
      <c r="C1" s="845"/>
      <c r="D1" s="845"/>
      <c r="E1" s="845"/>
      <c r="F1" s="845"/>
      <c r="G1" s="5"/>
      <c r="H1" s="5"/>
      <c r="I1" s="5"/>
    </row>
    <row r="2" spans="1:10" ht="31.5" customHeight="1">
      <c r="A2" s="1" t="s">
        <v>574</v>
      </c>
      <c r="C2" s="861" t="s">
        <v>2</v>
      </c>
      <c r="D2" s="861"/>
      <c r="E2" s="861"/>
      <c r="F2" s="861"/>
      <c r="G2" s="861"/>
      <c r="H2" s="861"/>
      <c r="I2" s="861"/>
      <c r="J2" s="861"/>
    </row>
    <row r="4" spans="1:9" ht="15" customHeight="1">
      <c r="A4" s="845" t="s">
        <v>7</v>
      </c>
      <c r="B4" s="845"/>
      <c r="C4" s="845"/>
      <c r="D4" s="845"/>
      <c r="E4" s="845"/>
      <c r="F4" s="845"/>
      <c r="G4" s="5"/>
      <c r="H4" s="5"/>
      <c r="I4" s="5"/>
    </row>
    <row r="5" spans="1:9" ht="1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1" t="s">
        <v>576</v>
      </c>
      <c r="C6" s="58" t="s">
        <v>168</v>
      </c>
      <c r="D6" s="58"/>
      <c r="E6" s="58"/>
      <c r="F6" s="58"/>
      <c r="G6" s="57"/>
      <c r="H6" s="57"/>
      <c r="I6" s="57"/>
    </row>
    <row r="8" spans="1:10" ht="27.75" customHeight="1">
      <c r="A8" s="63" t="s">
        <v>496</v>
      </c>
      <c r="B8" s="878" t="s">
        <v>537</v>
      </c>
      <c r="C8" s="878" t="s">
        <v>8</v>
      </c>
      <c r="D8" s="878" t="s">
        <v>9</v>
      </c>
      <c r="E8" s="878" t="s">
        <v>675</v>
      </c>
      <c r="F8" s="878" t="s">
        <v>676</v>
      </c>
      <c r="G8" s="878" t="s">
        <v>672</v>
      </c>
      <c r="H8" s="885" t="s">
        <v>93</v>
      </c>
      <c r="I8" s="886"/>
      <c r="J8" s="880" t="s">
        <v>3</v>
      </c>
    </row>
    <row r="9" spans="1:10" ht="86.25" customHeight="1">
      <c r="A9" s="63"/>
      <c r="B9" s="879"/>
      <c r="C9" s="879"/>
      <c r="D9" s="879"/>
      <c r="E9" s="879"/>
      <c r="F9" s="879"/>
      <c r="G9" s="879"/>
      <c r="H9" s="74" t="s">
        <v>673</v>
      </c>
      <c r="I9" s="74" t="s">
        <v>674</v>
      </c>
      <c r="J9" s="881"/>
    </row>
    <row r="10" spans="1:10" s="75" customFormat="1" ht="11.25" customHeight="1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/>
      <c r="H10" s="59"/>
      <c r="I10" s="59"/>
      <c r="J10" s="87">
        <v>7</v>
      </c>
    </row>
    <row r="11" spans="1:10" ht="97.5" customHeight="1">
      <c r="A11" s="64"/>
      <c r="B11" s="70" t="s">
        <v>12</v>
      </c>
      <c r="C11" s="67">
        <v>7</v>
      </c>
      <c r="D11" s="67">
        <v>12</v>
      </c>
      <c r="E11" s="66">
        <v>3583.33</v>
      </c>
      <c r="F11" s="88">
        <f>D11*E11</f>
        <v>42999.96</v>
      </c>
      <c r="G11" s="88">
        <v>43000</v>
      </c>
      <c r="H11" s="88">
        <v>6000</v>
      </c>
      <c r="I11" s="88">
        <f>56400-19400</f>
        <v>37000</v>
      </c>
      <c r="J11" s="383" t="s">
        <v>960</v>
      </c>
    </row>
    <row r="12" spans="1:10" ht="15" customHeight="1">
      <c r="A12" s="70"/>
      <c r="B12" s="79" t="s">
        <v>677</v>
      </c>
      <c r="C12" s="64" t="s">
        <v>546</v>
      </c>
      <c r="D12" s="64" t="s">
        <v>546</v>
      </c>
      <c r="E12" s="64" t="s">
        <v>546</v>
      </c>
      <c r="F12" s="143">
        <f>F11</f>
        <v>42999.96</v>
      </c>
      <c r="G12" s="143">
        <f>G11</f>
        <v>43000</v>
      </c>
      <c r="H12" s="143">
        <f>H11</f>
        <v>6000</v>
      </c>
      <c r="I12" s="143">
        <f>I11</f>
        <v>37000</v>
      </c>
      <c r="J12" s="89"/>
    </row>
    <row r="13" ht="15" customHeight="1" hidden="1"/>
    <row r="14" spans="1:10" ht="31.5" customHeight="1" hidden="1">
      <c r="A14" s="1" t="s">
        <v>574</v>
      </c>
      <c r="C14" s="861" t="s">
        <v>2</v>
      </c>
      <c r="D14" s="861"/>
      <c r="E14" s="861"/>
      <c r="F14" s="861"/>
      <c r="G14" s="861"/>
      <c r="H14" s="861"/>
      <c r="I14" s="861"/>
      <c r="J14" s="861"/>
    </row>
    <row r="15" spans="1:9" ht="19.5" customHeight="1" hidden="1">
      <c r="A15" s="1" t="s">
        <v>576</v>
      </c>
      <c r="C15" s="58" t="s">
        <v>531</v>
      </c>
      <c r="D15" s="58"/>
      <c r="E15" s="58"/>
      <c r="F15" s="58"/>
      <c r="G15" s="57"/>
      <c r="H15" s="57"/>
      <c r="I15" s="57"/>
    </row>
    <row r="16" ht="15" customHeight="1" hidden="1"/>
    <row r="17" spans="1:9" ht="15" customHeight="1" hidden="1">
      <c r="A17" s="845" t="s">
        <v>7</v>
      </c>
      <c r="B17" s="845"/>
      <c r="C17" s="845"/>
      <c r="D17" s="845"/>
      <c r="E17" s="845"/>
      <c r="F17" s="845"/>
      <c r="G17" s="5"/>
      <c r="H17" s="5"/>
      <c r="I17" s="5"/>
    </row>
    <row r="18" ht="15" customHeight="1" hidden="1"/>
    <row r="19" spans="1:10" ht="60" customHeight="1" hidden="1">
      <c r="A19" s="63" t="s">
        <v>496</v>
      </c>
      <c r="B19" s="74" t="s">
        <v>537</v>
      </c>
      <c r="C19" s="74" t="s">
        <v>8</v>
      </c>
      <c r="D19" s="74" t="s">
        <v>9</v>
      </c>
      <c r="E19" s="74" t="s">
        <v>10</v>
      </c>
      <c r="F19" s="74" t="s">
        <v>11</v>
      </c>
      <c r="G19" s="74"/>
      <c r="H19" s="74"/>
      <c r="I19" s="74"/>
      <c r="J19" s="86" t="s">
        <v>3</v>
      </c>
    </row>
    <row r="20" spans="1:10" s="75" customFormat="1" ht="11.25" customHeight="1" hidden="1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/>
      <c r="H20" s="59"/>
      <c r="I20" s="59"/>
      <c r="J20" s="87">
        <v>7</v>
      </c>
    </row>
    <row r="21" spans="1:10" ht="32.25" customHeight="1">
      <c r="A21" s="64"/>
      <c r="B21" s="70" t="s">
        <v>12</v>
      </c>
      <c r="C21" s="67">
        <v>3</v>
      </c>
      <c r="D21" s="67">
        <v>12</v>
      </c>
      <c r="E21" s="66">
        <v>247.8</v>
      </c>
      <c r="F21" s="88">
        <f aca="true" t="shared" si="0" ref="F21:F27">C21*D21*E21</f>
        <v>8920.800000000001</v>
      </c>
      <c r="G21" s="88">
        <v>8900</v>
      </c>
      <c r="H21" s="88">
        <v>8900</v>
      </c>
      <c r="I21" s="88">
        <v>0</v>
      </c>
      <c r="J21" s="882" t="s">
        <v>683</v>
      </c>
    </row>
    <row r="22" spans="1:10" ht="23.25" customHeight="1">
      <c r="A22" s="64"/>
      <c r="B22" s="70" t="s">
        <v>678</v>
      </c>
      <c r="C22" s="67">
        <v>3</v>
      </c>
      <c r="D22" s="67">
        <v>12</v>
      </c>
      <c r="E22" s="66">
        <v>407.49</v>
      </c>
      <c r="F22" s="88">
        <f t="shared" si="0"/>
        <v>14669.64</v>
      </c>
      <c r="G22" s="88">
        <v>14700</v>
      </c>
      <c r="H22" s="88">
        <v>14700</v>
      </c>
      <c r="I22" s="88">
        <v>0</v>
      </c>
      <c r="J22" s="883"/>
    </row>
    <row r="23" spans="1:10" ht="23.25" customHeight="1">
      <c r="A23" s="64"/>
      <c r="B23" s="70" t="s">
        <v>679</v>
      </c>
      <c r="C23" s="67">
        <v>50</v>
      </c>
      <c r="D23" s="67">
        <v>12</v>
      </c>
      <c r="E23" s="66">
        <v>3.5</v>
      </c>
      <c r="F23" s="88">
        <f t="shared" si="0"/>
        <v>2100</v>
      </c>
      <c r="G23" s="88">
        <v>2100</v>
      </c>
      <c r="H23" s="88">
        <v>2100</v>
      </c>
      <c r="I23" s="88">
        <v>0</v>
      </c>
      <c r="J23" s="883"/>
    </row>
    <row r="24" spans="1:10" ht="23.25" customHeight="1">
      <c r="A24" s="64"/>
      <c r="B24" s="70" t="s">
        <v>680</v>
      </c>
      <c r="C24" s="67">
        <v>9</v>
      </c>
      <c r="D24" s="67">
        <v>12</v>
      </c>
      <c r="E24" s="66">
        <v>3.2</v>
      </c>
      <c r="F24" s="88">
        <f t="shared" si="0"/>
        <v>345.6</v>
      </c>
      <c r="G24" s="88">
        <v>350</v>
      </c>
      <c r="H24" s="88">
        <v>350</v>
      </c>
      <c r="I24" s="88">
        <v>0</v>
      </c>
      <c r="J24" s="883"/>
    </row>
    <row r="25" spans="1:10" ht="23.25" customHeight="1">
      <c r="A25" s="64"/>
      <c r="B25" s="70" t="s">
        <v>681</v>
      </c>
      <c r="C25" s="67">
        <v>1</v>
      </c>
      <c r="D25" s="67">
        <v>12</v>
      </c>
      <c r="E25" s="66">
        <v>1510.4</v>
      </c>
      <c r="F25" s="88">
        <f t="shared" si="0"/>
        <v>18124.800000000003</v>
      </c>
      <c r="G25" s="88">
        <v>18150</v>
      </c>
      <c r="H25" s="88">
        <v>18150</v>
      </c>
      <c r="I25" s="88">
        <v>0</v>
      </c>
      <c r="J25" s="883"/>
    </row>
    <row r="26" spans="1:10" ht="23.25" customHeight="1">
      <c r="A26" s="64"/>
      <c r="B26" s="70" t="s">
        <v>684</v>
      </c>
      <c r="C26" s="67">
        <v>2</v>
      </c>
      <c r="D26" s="67">
        <v>12</v>
      </c>
      <c r="E26" s="66">
        <v>142.78</v>
      </c>
      <c r="F26" s="88">
        <f t="shared" si="0"/>
        <v>3426.7200000000003</v>
      </c>
      <c r="G26" s="88">
        <v>3400</v>
      </c>
      <c r="H26" s="88">
        <v>3400</v>
      </c>
      <c r="I26" s="88"/>
      <c r="J26" s="883"/>
    </row>
    <row r="27" spans="1:10" ht="27.75" customHeight="1">
      <c r="A27" s="64"/>
      <c r="B27" s="70" t="s">
        <v>682</v>
      </c>
      <c r="C27" s="67">
        <v>1</v>
      </c>
      <c r="D27" s="67">
        <v>12</v>
      </c>
      <c r="E27" s="66">
        <v>129.8</v>
      </c>
      <c r="F27" s="88">
        <f t="shared" si="0"/>
        <v>1557.6000000000001</v>
      </c>
      <c r="G27" s="88">
        <v>1600</v>
      </c>
      <c r="H27" s="88">
        <v>1600</v>
      </c>
      <c r="I27" s="88">
        <v>0</v>
      </c>
      <c r="J27" s="884"/>
    </row>
    <row r="28" spans="1:10" ht="24" customHeight="1">
      <c r="A28" s="64"/>
      <c r="B28" s="79" t="s">
        <v>677</v>
      </c>
      <c r="C28" s="67"/>
      <c r="D28" s="67"/>
      <c r="E28" s="66"/>
      <c r="F28" s="193">
        <f>SUM(F21:F27)</f>
        <v>49145.16</v>
      </c>
      <c r="G28" s="193">
        <f>SUM(G21:G27)</f>
        <v>49200</v>
      </c>
      <c r="H28" s="193">
        <f>SUM(H21:H27)</f>
        <v>49200</v>
      </c>
      <c r="I28" s="193">
        <v>0</v>
      </c>
      <c r="J28" s="384"/>
    </row>
    <row r="29" spans="1:10" ht="75" customHeight="1">
      <c r="A29" s="64">
        <v>2</v>
      </c>
      <c r="B29" s="3" t="s">
        <v>13</v>
      </c>
      <c r="C29" s="67">
        <v>2</v>
      </c>
      <c r="D29" s="67">
        <v>12</v>
      </c>
      <c r="E29" s="66">
        <v>600</v>
      </c>
      <c r="F29" s="193">
        <f>D29*E29</f>
        <v>7200</v>
      </c>
      <c r="G29" s="193">
        <v>7200</v>
      </c>
      <c r="H29" s="193">
        <v>0</v>
      </c>
      <c r="I29" s="193">
        <f>12000-4800</f>
        <v>7200</v>
      </c>
      <c r="J29" s="90" t="s">
        <v>685</v>
      </c>
    </row>
    <row r="30" spans="1:10" ht="17.25" customHeight="1">
      <c r="A30" s="64">
        <v>3</v>
      </c>
      <c r="B30" s="3" t="s">
        <v>14</v>
      </c>
      <c r="C30" s="67" t="s">
        <v>530</v>
      </c>
      <c r="D30" s="67" t="s">
        <v>530</v>
      </c>
      <c r="E30" s="66" t="s">
        <v>530</v>
      </c>
      <c r="F30" s="66" t="s">
        <v>530</v>
      </c>
      <c r="G30" s="88"/>
      <c r="H30" s="88"/>
      <c r="I30" s="88"/>
      <c r="J30" s="877" t="s">
        <v>936</v>
      </c>
    </row>
    <row r="31" spans="1:10" ht="20.25" customHeight="1">
      <c r="A31" s="64"/>
      <c r="B31" s="3" t="s">
        <v>937</v>
      </c>
      <c r="C31" s="67">
        <v>1</v>
      </c>
      <c r="D31" s="67">
        <v>12</v>
      </c>
      <c r="E31" s="66">
        <v>550</v>
      </c>
      <c r="F31" s="88">
        <f>C31*D31*E31</f>
        <v>6600</v>
      </c>
      <c r="G31" s="88">
        <f>4000-400+3000</f>
        <v>6600</v>
      </c>
      <c r="H31" s="88">
        <v>0</v>
      </c>
      <c r="I31" s="88">
        <f>4000-400+3000</f>
        <v>6600</v>
      </c>
      <c r="J31" s="877"/>
    </row>
    <row r="32" spans="1:10" ht="31.5" customHeight="1">
      <c r="A32" s="64"/>
      <c r="B32" s="3" t="s">
        <v>938</v>
      </c>
      <c r="C32" s="67">
        <v>1</v>
      </c>
      <c r="D32" s="67">
        <v>12</v>
      </c>
      <c r="E32" s="66">
        <f>2700+1000</f>
        <v>3700</v>
      </c>
      <c r="F32" s="88">
        <f>C32*D32*E32+200</f>
        <v>44600</v>
      </c>
      <c r="G32" s="88">
        <f>32600+12000</f>
        <v>44600</v>
      </c>
      <c r="H32" s="88">
        <v>0</v>
      </c>
      <c r="I32" s="88">
        <f>32600+12000</f>
        <v>44600</v>
      </c>
      <c r="J32" s="877"/>
    </row>
    <row r="33" spans="1:10" ht="36.75" customHeight="1">
      <c r="A33" s="70"/>
      <c r="B33" s="79" t="s">
        <v>677</v>
      </c>
      <c r="C33" s="64" t="s">
        <v>546</v>
      </c>
      <c r="D33" s="64" t="s">
        <v>546</v>
      </c>
      <c r="E33" s="64" t="s">
        <v>546</v>
      </c>
      <c r="F33" s="143">
        <f>SUM(F31:F32)</f>
        <v>51200</v>
      </c>
      <c r="G33" s="143">
        <f>SUM(G31:G32)</f>
        <v>51200</v>
      </c>
      <c r="H33" s="143">
        <v>0</v>
      </c>
      <c r="I33" s="143">
        <f>SUM(I31:I32)</f>
        <v>51200</v>
      </c>
      <c r="J33" s="89"/>
    </row>
    <row r="34" spans="1:10" s="144" customFormat="1" ht="24.75" customHeight="1">
      <c r="A34" s="142"/>
      <c r="B34" s="79" t="s">
        <v>231</v>
      </c>
      <c r="C34" s="115" t="s">
        <v>546</v>
      </c>
      <c r="D34" s="115" t="s">
        <v>546</v>
      </c>
      <c r="E34" s="115" t="s">
        <v>546</v>
      </c>
      <c r="F34" s="143">
        <f>F33+F28+F12+F29</f>
        <v>150545.12</v>
      </c>
      <c r="G34" s="143">
        <f>G33+G28+G12+G29</f>
        <v>150600</v>
      </c>
      <c r="H34" s="143">
        <f>H33+H28+H12+H29</f>
        <v>55200</v>
      </c>
      <c r="I34" s="143">
        <f>I33+I28+I12+I29</f>
        <v>95400</v>
      </c>
      <c r="J34" s="177"/>
    </row>
    <row r="35" spans="1:10" ht="15" customHeight="1">
      <c r="A35" s="57"/>
      <c r="B35" s="91"/>
      <c r="C35" s="92"/>
      <c r="D35" s="92"/>
      <c r="E35" s="92"/>
      <c r="F35" s="93"/>
      <c r="G35" s="93"/>
      <c r="H35" s="93"/>
      <c r="I35" s="93"/>
      <c r="J35" s="94"/>
    </row>
    <row r="36" spans="1:5" ht="15" customHeight="1">
      <c r="A36" s="845" t="s">
        <v>15</v>
      </c>
      <c r="B36" s="845"/>
      <c r="C36" s="845"/>
      <c r="D36" s="845"/>
      <c r="E36" s="845"/>
    </row>
    <row r="37" spans="1:5" ht="15" customHeight="1">
      <c r="A37" s="56"/>
      <c r="B37" s="56"/>
      <c r="C37" s="5"/>
      <c r="D37" s="5"/>
      <c r="E37" s="5"/>
    </row>
    <row r="38" spans="1:5" ht="15">
      <c r="A38" s="1" t="s">
        <v>576</v>
      </c>
      <c r="C38" s="861" t="s">
        <v>531</v>
      </c>
      <c r="D38" s="861"/>
      <c r="E38" s="861"/>
    </row>
    <row r="39" ht="18" customHeight="1"/>
    <row r="40" spans="1:9" ht="60" customHeight="1">
      <c r="A40" s="63" t="s">
        <v>496</v>
      </c>
      <c r="B40" s="74" t="s">
        <v>537</v>
      </c>
      <c r="C40" s="95" t="s">
        <v>687</v>
      </c>
      <c r="D40" s="96" t="s">
        <v>17</v>
      </c>
      <c r="E40" s="86" t="s">
        <v>18</v>
      </c>
      <c r="F40" s="385" t="s">
        <v>672</v>
      </c>
      <c r="G40" s="63" t="s">
        <v>686</v>
      </c>
      <c r="H40" s="63" t="s">
        <v>82</v>
      </c>
      <c r="I40" s="63" t="s">
        <v>3</v>
      </c>
    </row>
    <row r="41" spans="1:9" ht="15" customHeight="1">
      <c r="A41" s="64">
        <v>1</v>
      </c>
      <c r="B41" s="80">
        <v>2</v>
      </c>
      <c r="C41" s="80">
        <v>3</v>
      </c>
      <c r="D41" s="80">
        <v>4</v>
      </c>
      <c r="E41" s="97">
        <v>5</v>
      </c>
      <c r="F41" s="174">
        <v>6</v>
      </c>
      <c r="G41" s="97">
        <v>7</v>
      </c>
      <c r="H41" s="97">
        <v>8</v>
      </c>
      <c r="I41" s="97">
        <v>9</v>
      </c>
    </row>
    <row r="42" spans="1:9" ht="143.25" customHeight="1">
      <c r="A42" s="64">
        <v>1</v>
      </c>
      <c r="B42" s="3" t="s">
        <v>19</v>
      </c>
      <c r="C42" s="67">
        <v>12</v>
      </c>
      <c r="D42" s="66">
        <v>440</v>
      </c>
      <c r="E42" s="88">
        <f>C42*D42</f>
        <v>5280</v>
      </c>
      <c r="F42" s="387">
        <v>5300</v>
      </c>
      <c r="G42" s="387">
        <v>5300</v>
      </c>
      <c r="H42" s="387">
        <v>0</v>
      </c>
      <c r="I42" s="307" t="s">
        <v>873</v>
      </c>
    </row>
    <row r="43" spans="1:9" ht="78.75" customHeight="1">
      <c r="A43" s="64">
        <v>2</v>
      </c>
      <c r="B43" s="3" t="s">
        <v>986</v>
      </c>
      <c r="C43" s="67">
        <v>2</v>
      </c>
      <c r="D43" s="66">
        <v>3325</v>
      </c>
      <c r="E43" s="88">
        <f>C43*D43</f>
        <v>6650</v>
      </c>
      <c r="F43" s="387">
        <v>6650</v>
      </c>
      <c r="G43" s="387">
        <v>0</v>
      </c>
      <c r="H43" s="387">
        <v>6650</v>
      </c>
      <c r="I43" s="307" t="s">
        <v>987</v>
      </c>
    </row>
    <row r="44" spans="1:9" ht="41.25" customHeight="1">
      <c r="A44" s="64">
        <v>3</v>
      </c>
      <c r="B44" s="3" t="s">
        <v>688</v>
      </c>
      <c r="C44" s="67">
        <v>1</v>
      </c>
      <c r="D44" s="66">
        <f>2100+1050</f>
        <v>3150</v>
      </c>
      <c r="E44" s="88">
        <f>2100+1050</f>
        <v>3150</v>
      </c>
      <c r="F44" s="387">
        <f>2100+1050</f>
        <v>3150</v>
      </c>
      <c r="G44" s="387">
        <v>0</v>
      </c>
      <c r="H44" s="387">
        <f>2100+1050</f>
        <v>3150</v>
      </c>
      <c r="I44" s="307" t="s">
        <v>1067</v>
      </c>
    </row>
    <row r="45" spans="1:9" ht="92.25" customHeight="1">
      <c r="A45" s="64">
        <v>4</v>
      </c>
      <c r="B45" s="3" t="s">
        <v>1026</v>
      </c>
      <c r="C45" s="67">
        <v>1</v>
      </c>
      <c r="D45" s="66">
        <v>95000</v>
      </c>
      <c r="E45" s="88">
        <v>95000</v>
      </c>
      <c r="F45" s="387">
        <v>95000</v>
      </c>
      <c r="G45" s="387">
        <v>0</v>
      </c>
      <c r="H45" s="387">
        <v>95000</v>
      </c>
      <c r="I45" s="307" t="s">
        <v>1024</v>
      </c>
    </row>
    <row r="46" spans="1:9" ht="18.75" customHeight="1">
      <c r="A46" s="70"/>
      <c r="B46" s="79" t="s">
        <v>545</v>
      </c>
      <c r="C46" s="64" t="s">
        <v>546</v>
      </c>
      <c r="D46" s="64" t="s">
        <v>546</v>
      </c>
      <c r="E46" s="386">
        <f>SUM(E42:E45)</f>
        <v>110080</v>
      </c>
      <c r="F46" s="386">
        <f>SUM(F42:F45)</f>
        <v>110100</v>
      </c>
      <c r="G46" s="386">
        <v>5300</v>
      </c>
      <c r="H46" s="386">
        <f>SUM(H42:H45)</f>
        <v>104800</v>
      </c>
      <c r="I46" s="70"/>
    </row>
    <row r="48" spans="1:5" ht="15" customHeight="1" hidden="1">
      <c r="A48" s="1" t="s">
        <v>576</v>
      </c>
      <c r="C48" s="58" t="s">
        <v>531</v>
      </c>
      <c r="D48" s="58"/>
      <c r="E48" s="58"/>
    </row>
    <row r="49" ht="15" customHeight="1" hidden="1"/>
    <row r="50" spans="1:9" ht="60" customHeight="1" hidden="1">
      <c r="A50" s="63" t="s">
        <v>496</v>
      </c>
      <c r="B50" s="74" t="s">
        <v>537</v>
      </c>
      <c r="C50" s="95" t="s">
        <v>16</v>
      </c>
      <c r="D50" s="96" t="s">
        <v>17</v>
      </c>
      <c r="E50" s="86" t="s">
        <v>18</v>
      </c>
      <c r="F50" s="63" t="s">
        <v>3</v>
      </c>
      <c r="G50" s="381"/>
      <c r="H50" s="381"/>
      <c r="I50" s="381"/>
    </row>
    <row r="51" spans="1:9" ht="15" customHeight="1" hidden="1">
      <c r="A51" s="64">
        <v>1</v>
      </c>
      <c r="B51" s="80">
        <v>2</v>
      </c>
      <c r="C51" s="80">
        <v>3</v>
      </c>
      <c r="D51" s="80">
        <v>4</v>
      </c>
      <c r="E51" s="97">
        <v>5</v>
      </c>
      <c r="F51" s="97">
        <v>6</v>
      </c>
      <c r="G51" s="382"/>
      <c r="H51" s="382"/>
      <c r="I51" s="382"/>
    </row>
    <row r="52" spans="1:9" ht="15" customHeight="1" hidden="1">
      <c r="A52" s="64">
        <v>1</v>
      </c>
      <c r="B52" s="3" t="s">
        <v>19</v>
      </c>
      <c r="C52" s="67"/>
      <c r="D52" s="66"/>
      <c r="E52" s="88">
        <f>C52*D52</f>
        <v>0</v>
      </c>
      <c r="F52" s="70"/>
      <c r="G52" s="57"/>
      <c r="H52" s="57"/>
      <c r="I52" s="57"/>
    </row>
    <row r="53" spans="1:9" ht="30" customHeight="1" hidden="1">
      <c r="A53" s="64">
        <v>2</v>
      </c>
      <c r="B53" s="3" t="s">
        <v>20</v>
      </c>
      <c r="C53" s="67"/>
      <c r="D53" s="66"/>
      <c r="E53" s="88">
        <f>C53*D53</f>
        <v>0</v>
      </c>
      <c r="F53" s="70"/>
      <c r="G53" s="57"/>
      <c r="H53" s="57"/>
      <c r="I53" s="57"/>
    </row>
    <row r="54" spans="1:9" ht="15" customHeight="1" hidden="1">
      <c r="A54" s="64">
        <v>3</v>
      </c>
      <c r="B54" s="70"/>
      <c r="C54" s="67"/>
      <c r="D54" s="66"/>
      <c r="E54" s="88">
        <f>C54*D54</f>
        <v>0</v>
      </c>
      <c r="F54" s="70"/>
      <c r="G54" s="57"/>
      <c r="H54" s="57"/>
      <c r="I54" s="57"/>
    </row>
    <row r="55" spans="1:9" ht="15" customHeight="1" hidden="1">
      <c r="A55" s="64">
        <v>4</v>
      </c>
      <c r="B55" s="70"/>
      <c r="C55" s="67"/>
      <c r="D55" s="66"/>
      <c r="E55" s="88">
        <f>C55*D55</f>
        <v>0</v>
      </c>
      <c r="F55" s="70"/>
      <c r="G55" s="57"/>
      <c r="H55" s="57"/>
      <c r="I55" s="57"/>
    </row>
    <row r="56" spans="1:9" ht="15" customHeight="1" hidden="1">
      <c r="A56" s="70"/>
      <c r="B56" s="79" t="s">
        <v>545</v>
      </c>
      <c r="C56" s="64" t="s">
        <v>546</v>
      </c>
      <c r="D56" s="64" t="s">
        <v>546</v>
      </c>
      <c r="E56" s="72">
        <f>SUM(E52:E55)</f>
        <v>0</v>
      </c>
      <c r="F56" s="70"/>
      <c r="G56" s="57"/>
      <c r="H56" s="57"/>
      <c r="I56" s="57"/>
    </row>
  </sheetData>
  <sheetProtection selectLockedCells="1" selectUnlockedCells="1"/>
  <mergeCells count="17">
    <mergeCell ref="J21:J27"/>
    <mergeCell ref="C8:C9"/>
    <mergeCell ref="D8:D9"/>
    <mergeCell ref="E8:E9"/>
    <mergeCell ref="F8:F9"/>
    <mergeCell ref="G8:G9"/>
    <mergeCell ref="H8:I8"/>
    <mergeCell ref="J30:J32"/>
    <mergeCell ref="A36:E36"/>
    <mergeCell ref="C38:E38"/>
    <mergeCell ref="A1:F1"/>
    <mergeCell ref="C2:J2"/>
    <mergeCell ref="A4:F4"/>
    <mergeCell ref="C14:J14"/>
    <mergeCell ref="A17:F17"/>
    <mergeCell ref="B8:B9"/>
    <mergeCell ref="J8:J9"/>
  </mergeCells>
  <printOptions/>
  <pageMargins left="0.7480314960629921" right="0.7480314960629921" top="0.7874015748031497" bottom="0.7480314960629921" header="0.4330708661417323" footer="0.3937007874015748"/>
  <pageSetup horizontalDpi="300" verticalDpi="300" orientation="landscape" paperSize="9" scale="60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1"/>
  <sheetViews>
    <sheetView zoomScale="75" zoomScaleNormal="75" zoomScalePageLayoutView="0" workbookViewId="0" topLeftCell="A1">
      <selection activeCell="I23" sqref="I23:I24"/>
    </sheetView>
  </sheetViews>
  <sheetFormatPr defaultColWidth="9.140625" defaultRowHeight="15" customHeight="1"/>
  <cols>
    <col min="1" max="1" width="4.421875" style="1" customWidth="1"/>
    <col min="2" max="2" width="33.140625" style="1" customWidth="1"/>
    <col min="3" max="3" width="20.140625" style="1" customWidth="1"/>
    <col min="4" max="4" width="21.00390625" style="1" customWidth="1"/>
    <col min="5" max="5" width="24.140625" style="1" customWidth="1"/>
    <col min="6" max="6" width="18.8515625" style="1" customWidth="1"/>
    <col min="7" max="7" width="31.28125" style="1" customWidth="1"/>
    <col min="8" max="16384" width="9.140625" style="1" customWidth="1"/>
  </cols>
  <sheetData>
    <row r="1" spans="3:7" ht="15" customHeight="1">
      <c r="C1" s="138" t="s">
        <v>21</v>
      </c>
      <c r="D1" s="138"/>
      <c r="E1" s="138"/>
      <c r="F1" s="138"/>
      <c r="G1" s="138"/>
    </row>
    <row r="2" spans="1:8" ht="38.25" customHeight="1">
      <c r="A2" s="1" t="s">
        <v>576</v>
      </c>
      <c r="C2" s="887" t="s">
        <v>494</v>
      </c>
      <c r="D2" s="887"/>
      <c r="E2" s="887"/>
      <c r="F2" s="887"/>
      <c r="G2" s="887"/>
      <c r="H2" s="57"/>
    </row>
    <row r="5" spans="1:7" ht="45" customHeight="1">
      <c r="A5" s="63" t="s">
        <v>496</v>
      </c>
      <c r="B5" s="74" t="s">
        <v>340</v>
      </c>
      <c r="C5" s="74" t="s">
        <v>22</v>
      </c>
      <c r="D5" s="74" t="s">
        <v>23</v>
      </c>
      <c r="E5" s="63" t="s">
        <v>24</v>
      </c>
      <c r="F5" s="63" t="s">
        <v>169</v>
      </c>
      <c r="G5" s="63" t="s">
        <v>3</v>
      </c>
    </row>
    <row r="6" spans="1:7" s="75" customFormat="1" ht="15" customHeight="1">
      <c r="A6" s="64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</row>
    <row r="7" spans="1:7" ht="30">
      <c r="A7" s="64">
        <v>1</v>
      </c>
      <c r="B7" s="70" t="s">
        <v>25</v>
      </c>
      <c r="C7" s="402">
        <v>344.72795</v>
      </c>
      <c r="D7" s="409">
        <f>(1526.92+1588)/2</f>
        <v>1557.46</v>
      </c>
      <c r="E7" s="373">
        <f>C7*D7</f>
        <v>536899.9930070001</v>
      </c>
      <c r="F7" s="373">
        <f>436900+100000</f>
        <v>536900</v>
      </c>
      <c r="G7" s="139" t="s">
        <v>721</v>
      </c>
    </row>
    <row r="8" spans="1:7" ht="45">
      <c r="A8" s="64">
        <v>2</v>
      </c>
      <c r="B8" s="70" t="s">
        <v>26</v>
      </c>
      <c r="C8" s="402">
        <v>48390.66339</v>
      </c>
      <c r="D8" s="409">
        <f>(7.98+8.3)/2</f>
        <v>8.14</v>
      </c>
      <c r="E8" s="373">
        <f>C8*D8</f>
        <v>393899.9999946</v>
      </c>
      <c r="F8" s="373">
        <f>493900-100000</f>
        <v>393900</v>
      </c>
      <c r="G8" s="139" t="s">
        <v>722</v>
      </c>
    </row>
    <row r="9" spans="1:7" ht="15">
      <c r="A9" s="64">
        <v>3</v>
      </c>
      <c r="B9" s="70" t="s">
        <v>27</v>
      </c>
      <c r="C9" s="402">
        <v>704.298</v>
      </c>
      <c r="D9" s="409">
        <f>(18.93+19.69)/2</f>
        <v>19.310000000000002</v>
      </c>
      <c r="E9" s="373">
        <f>C9*D9</f>
        <v>13599.994380000002</v>
      </c>
      <c r="F9" s="373">
        <v>13600</v>
      </c>
      <c r="G9" s="140" t="s">
        <v>723</v>
      </c>
    </row>
    <row r="10" spans="1:7" ht="15">
      <c r="A10" s="64">
        <v>4</v>
      </c>
      <c r="B10" s="70" t="s">
        <v>28</v>
      </c>
      <c r="C10" s="402">
        <v>613.086</v>
      </c>
      <c r="D10" s="409">
        <f>(17.23+17.92)/2</f>
        <v>17.575000000000003</v>
      </c>
      <c r="E10" s="373">
        <f>C10*D10</f>
        <v>10774.986450000002</v>
      </c>
      <c r="F10" s="373">
        <v>10800</v>
      </c>
      <c r="G10" s="140" t="s">
        <v>723</v>
      </c>
    </row>
    <row r="11" spans="1:7" ht="61.5" customHeight="1">
      <c r="A11" s="64">
        <v>5</v>
      </c>
      <c r="B11" s="3" t="s">
        <v>982</v>
      </c>
      <c r="C11" s="710" t="s">
        <v>171</v>
      </c>
      <c r="D11" s="409">
        <v>1</v>
      </c>
      <c r="E11" s="373">
        <f>148100-2850</f>
        <v>145250</v>
      </c>
      <c r="F11" s="373">
        <f>148100-2850</f>
        <v>145250</v>
      </c>
      <c r="G11" s="140" t="s">
        <v>1117</v>
      </c>
    </row>
    <row r="12" spans="1:7" ht="15" customHeight="1">
      <c r="A12" s="70"/>
      <c r="B12" s="79" t="s">
        <v>529</v>
      </c>
      <c r="C12" s="404" t="s">
        <v>546</v>
      </c>
      <c r="D12" s="405" t="s">
        <v>546</v>
      </c>
      <c r="E12" s="376">
        <f>SUM(E7:E11)</f>
        <v>1100424.9738316</v>
      </c>
      <c r="F12" s="374">
        <f>SUM(F7:F11)</f>
        <v>1100450</v>
      </c>
      <c r="G12" s="3"/>
    </row>
    <row r="13" spans="1:7" ht="45" customHeight="1" hidden="1">
      <c r="A13" s="63" t="s">
        <v>496</v>
      </c>
      <c r="B13" s="74" t="s">
        <v>340</v>
      </c>
      <c r="C13" s="406" t="s">
        <v>22</v>
      </c>
      <c r="D13" s="407" t="s">
        <v>23</v>
      </c>
      <c r="E13" s="39" t="s">
        <v>24</v>
      </c>
      <c r="F13" s="39"/>
      <c r="G13" s="63" t="s">
        <v>3</v>
      </c>
    </row>
    <row r="14" spans="1:7" s="75" customFormat="1" ht="15" customHeight="1" hidden="1">
      <c r="A14" s="64">
        <v>1</v>
      </c>
      <c r="B14" s="80">
        <v>2</v>
      </c>
      <c r="C14" s="408">
        <v>3</v>
      </c>
      <c r="D14" s="375">
        <v>4</v>
      </c>
      <c r="E14" s="375">
        <v>5</v>
      </c>
      <c r="F14" s="375"/>
      <c r="G14" s="141">
        <v>6</v>
      </c>
    </row>
    <row r="15" spans="1:7" ht="30">
      <c r="A15" s="64">
        <v>1</v>
      </c>
      <c r="B15" s="70" t="s">
        <v>25</v>
      </c>
      <c r="C15" s="402">
        <v>321.04</v>
      </c>
      <c r="D15" s="403">
        <v>1557.46</v>
      </c>
      <c r="E15" s="373">
        <f>C15*D15</f>
        <v>500006.95840000006</v>
      </c>
      <c r="F15" s="376">
        <v>500000</v>
      </c>
      <c r="G15" s="139" t="s">
        <v>721</v>
      </c>
    </row>
    <row r="16" spans="1:7" ht="60">
      <c r="A16" s="64">
        <v>2</v>
      </c>
      <c r="B16" s="70" t="s">
        <v>26</v>
      </c>
      <c r="C16" s="402">
        <v>73710.07</v>
      </c>
      <c r="D16" s="403">
        <v>8.14</v>
      </c>
      <c r="E16" s="373">
        <f>C16*D16</f>
        <v>599999.9698000001</v>
      </c>
      <c r="F16" s="376">
        <v>600000</v>
      </c>
      <c r="G16" s="139" t="s">
        <v>959</v>
      </c>
    </row>
    <row r="17" spans="1:7" ht="45">
      <c r="A17" s="64">
        <v>3</v>
      </c>
      <c r="B17" s="70" t="s">
        <v>29</v>
      </c>
      <c r="C17" s="402">
        <v>558.001</v>
      </c>
      <c r="D17" s="403">
        <v>19.310000000000002</v>
      </c>
      <c r="E17" s="373">
        <f>C17*D17</f>
        <v>10774.999310000001</v>
      </c>
      <c r="F17" s="376">
        <v>10800</v>
      </c>
      <c r="G17" s="140" t="s">
        <v>958</v>
      </c>
    </row>
    <row r="18" spans="1:7" ht="45">
      <c r="A18" s="64">
        <v>4</v>
      </c>
      <c r="B18" s="70" t="s">
        <v>28</v>
      </c>
      <c r="C18" s="402">
        <v>687.536</v>
      </c>
      <c r="D18" s="403">
        <v>17.575000000000003</v>
      </c>
      <c r="E18" s="373">
        <f>C18*D18</f>
        <v>12083.4452</v>
      </c>
      <c r="F18" s="376">
        <v>12100</v>
      </c>
      <c r="G18" s="140" t="s">
        <v>958</v>
      </c>
    </row>
    <row r="19" spans="1:7" ht="45">
      <c r="A19" s="64">
        <v>5</v>
      </c>
      <c r="B19" s="3" t="s">
        <v>975</v>
      </c>
      <c r="C19" s="710" t="s">
        <v>171</v>
      </c>
      <c r="D19" s="409">
        <v>1</v>
      </c>
      <c r="E19" s="373">
        <f>163000-40000</f>
        <v>123000</v>
      </c>
      <c r="F19" s="373">
        <f>163000-40000</f>
        <v>123000</v>
      </c>
      <c r="G19" s="140" t="s">
        <v>1117</v>
      </c>
    </row>
    <row r="20" spans="1:7" ht="15" customHeight="1">
      <c r="A20" s="70"/>
      <c r="B20" s="79" t="s">
        <v>5</v>
      </c>
      <c r="C20" s="404" t="s">
        <v>546</v>
      </c>
      <c r="D20" s="405" t="s">
        <v>546</v>
      </c>
      <c r="E20" s="376">
        <f>SUM(E15:E19)</f>
        <v>1245865.3727100003</v>
      </c>
      <c r="F20" s="374">
        <f>SUM(F15:F19)</f>
        <v>1245900</v>
      </c>
      <c r="G20" s="3"/>
    </row>
    <row r="21" spans="1:7" s="144" customFormat="1" ht="15" customHeight="1">
      <c r="A21" s="142"/>
      <c r="B21" s="79" t="s">
        <v>231</v>
      </c>
      <c r="C21" s="410" t="s">
        <v>546</v>
      </c>
      <c r="D21" s="411" t="s">
        <v>546</v>
      </c>
      <c r="E21" s="374">
        <f>E20+E12</f>
        <v>2346290.3465416003</v>
      </c>
      <c r="F21" s="374">
        <f>F20+F12</f>
        <v>2346350</v>
      </c>
      <c r="G21" s="2"/>
    </row>
    <row r="65531" ht="15" customHeight="1" hidden="1"/>
  </sheetData>
  <sheetProtection selectLockedCells="1" selectUnlockedCells="1"/>
  <mergeCells count="1">
    <mergeCell ref="C2:G2"/>
  </mergeCells>
  <printOptions/>
  <pageMargins left="0.75" right="0.75" top="1" bottom="0.76" header="0.5118055555555555" footer="0.5118055555555555"/>
  <pageSetup fitToHeight="1" fitToWidth="1" horizontalDpi="300" verticalDpi="3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1"/>
  <sheetViews>
    <sheetView zoomScalePageLayoutView="0" workbookViewId="0" topLeftCell="A1">
      <selection activeCell="A20" sqref="A20"/>
    </sheetView>
  </sheetViews>
  <sheetFormatPr defaultColWidth="9.140625" defaultRowHeight="15" customHeight="1"/>
  <cols>
    <col min="1" max="1" width="4.57421875" style="1" customWidth="1"/>
    <col min="2" max="2" width="34.28125" style="1" customWidth="1"/>
    <col min="3" max="3" width="13.421875" style="1" customWidth="1"/>
    <col min="4" max="4" width="23.57421875" style="1" customWidth="1"/>
    <col min="5" max="5" width="21.140625" style="1" customWidth="1"/>
    <col min="6" max="6" width="29.57421875" style="1" customWidth="1"/>
    <col min="7" max="16384" width="9.140625" style="1" customWidth="1"/>
  </cols>
  <sheetData>
    <row r="1" spans="3:7" ht="15" customHeight="1">
      <c r="C1" s="57"/>
      <c r="D1" s="57"/>
      <c r="E1" s="57"/>
      <c r="F1" s="57"/>
      <c r="G1" s="57"/>
    </row>
    <row r="2" spans="1:7" ht="15" customHeight="1">
      <c r="A2" s="888" t="s">
        <v>30</v>
      </c>
      <c r="B2" s="888"/>
      <c r="C2" s="888"/>
      <c r="D2" s="888"/>
      <c r="E2" s="888"/>
      <c r="F2" s="888"/>
      <c r="G2" s="57"/>
    </row>
    <row r="3" spans="1:7" ht="15" customHeight="1">
      <c r="A3" s="56"/>
      <c r="B3" s="56"/>
      <c r="C3" s="5"/>
      <c r="D3" s="5"/>
      <c r="E3" s="5"/>
      <c r="F3" s="57"/>
      <c r="G3" s="57"/>
    </row>
    <row r="4" spans="1:7" ht="15">
      <c r="A4" s="1" t="s">
        <v>576</v>
      </c>
      <c r="C4" s="861" t="s">
        <v>531</v>
      </c>
      <c r="D4" s="861"/>
      <c r="E4" s="861"/>
      <c r="F4" s="58"/>
      <c r="G4" s="57"/>
    </row>
    <row r="5" spans="6:7" ht="15">
      <c r="F5" s="57"/>
      <c r="G5" s="57"/>
    </row>
    <row r="6" spans="1:6" ht="45">
      <c r="A6" s="63" t="s">
        <v>496</v>
      </c>
      <c r="B6" s="63" t="s">
        <v>340</v>
      </c>
      <c r="C6" s="63" t="s">
        <v>31</v>
      </c>
      <c r="D6" s="63" t="s">
        <v>32</v>
      </c>
      <c r="E6" s="63" t="s">
        <v>33</v>
      </c>
      <c r="F6" s="63" t="s">
        <v>3</v>
      </c>
    </row>
    <row r="7" spans="1:6" s="99" customFormat="1" ht="15">
      <c r="A7" s="64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</row>
    <row r="8" spans="1:6" ht="15" hidden="1">
      <c r="A8" s="64">
        <v>1</v>
      </c>
      <c r="B8" s="3" t="s">
        <v>34</v>
      </c>
      <c r="C8" s="67"/>
      <c r="D8" s="66"/>
      <c r="E8" s="88"/>
      <c r="F8" s="70"/>
    </row>
    <row r="9" spans="1:6" ht="15" hidden="1">
      <c r="A9" s="64">
        <v>2</v>
      </c>
      <c r="B9" s="3" t="s">
        <v>35</v>
      </c>
      <c r="C9" s="67"/>
      <c r="D9" s="66"/>
      <c r="E9" s="88"/>
      <c r="F9" s="70"/>
    </row>
    <row r="10" spans="1:6" ht="15" hidden="1">
      <c r="A10" s="64">
        <v>3</v>
      </c>
      <c r="B10" s="70" t="s">
        <v>36</v>
      </c>
      <c r="C10" s="67"/>
      <c r="D10" s="66"/>
      <c r="E10" s="88"/>
      <c r="F10" s="70"/>
    </row>
    <row r="11" spans="1:6" ht="15" hidden="1">
      <c r="A11" s="70"/>
      <c r="B11" s="70" t="s">
        <v>37</v>
      </c>
      <c r="C11" s="67"/>
      <c r="D11" s="66"/>
      <c r="E11" s="88"/>
      <c r="F11" s="70"/>
    </row>
    <row r="12" spans="1:6" ht="15" hidden="1">
      <c r="A12" s="70"/>
      <c r="B12" s="79" t="s">
        <v>587</v>
      </c>
      <c r="C12" s="64" t="s">
        <v>546</v>
      </c>
      <c r="D12" s="64" t="s">
        <v>546</v>
      </c>
      <c r="E12" s="66">
        <f>SUM(E8:E11)</f>
        <v>0</v>
      </c>
      <c r="F12" s="70"/>
    </row>
    <row r="13" ht="15" hidden="1"/>
    <row r="14" spans="1:5" ht="15" hidden="1">
      <c r="A14" s="1" t="s">
        <v>576</v>
      </c>
      <c r="C14" s="58" t="s">
        <v>531</v>
      </c>
      <c r="D14" s="58"/>
      <c r="E14" s="58"/>
    </row>
    <row r="15" ht="15" customHeight="1" hidden="1"/>
    <row r="16" spans="1:6" ht="45" customHeight="1" hidden="1">
      <c r="A16" s="63" t="s">
        <v>496</v>
      </c>
      <c r="B16" s="63" t="s">
        <v>340</v>
      </c>
      <c r="C16" s="63" t="s">
        <v>31</v>
      </c>
      <c r="D16" s="63" t="s">
        <v>32</v>
      </c>
      <c r="E16" s="63" t="s">
        <v>33</v>
      </c>
      <c r="F16" s="63" t="s">
        <v>3</v>
      </c>
    </row>
    <row r="17" spans="1:6" ht="15" customHeight="1" hidden="1">
      <c r="A17" s="64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</row>
    <row r="18" spans="1:6" ht="36" customHeight="1">
      <c r="A18" s="100" t="s">
        <v>311</v>
      </c>
      <c r="B18" s="174" t="s">
        <v>911</v>
      </c>
      <c r="C18" s="66">
        <v>16</v>
      </c>
      <c r="D18" s="671">
        <v>250</v>
      </c>
      <c r="E18" s="66">
        <f>C18*D18</f>
        <v>4000</v>
      </c>
      <c r="F18" s="98" t="s">
        <v>914</v>
      </c>
    </row>
    <row r="19" spans="1:6" ht="15" customHeight="1" hidden="1">
      <c r="A19" s="100" t="s">
        <v>401</v>
      </c>
      <c r="B19" s="70"/>
      <c r="C19" s="67"/>
      <c r="D19" s="66"/>
      <c r="E19" s="88">
        <f>C19*D19</f>
        <v>0</v>
      </c>
      <c r="F19" s="70"/>
    </row>
    <row r="20" spans="1:6" ht="15" customHeight="1">
      <c r="A20" s="70"/>
      <c r="B20" s="79" t="s">
        <v>545</v>
      </c>
      <c r="C20" s="64" t="s">
        <v>546</v>
      </c>
      <c r="D20" s="64" t="s">
        <v>546</v>
      </c>
      <c r="E20" s="146">
        <f>SUM(E18:E19)</f>
        <v>4000</v>
      </c>
      <c r="F20" s="70"/>
    </row>
    <row r="21" spans="1:6" ht="15" customHeight="1" hidden="1">
      <c r="A21" s="70"/>
      <c r="B21" s="79" t="s">
        <v>588</v>
      </c>
      <c r="C21" s="64" t="s">
        <v>546</v>
      </c>
      <c r="D21" s="64" t="s">
        <v>546</v>
      </c>
      <c r="E21" s="66">
        <f>E20</f>
        <v>4000</v>
      </c>
      <c r="F21" s="70"/>
    </row>
  </sheetData>
  <sheetProtection selectLockedCells="1" selectUnlockedCells="1"/>
  <mergeCells count="2">
    <mergeCell ref="C4:E4"/>
    <mergeCell ref="A2:F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5"/>
  <sheetViews>
    <sheetView view="pageBreakPreview" zoomScale="75" zoomScaleSheetLayoutView="75" zoomScalePageLayoutView="0" workbookViewId="0" topLeftCell="A23">
      <selection activeCell="E44" sqref="E44"/>
    </sheetView>
  </sheetViews>
  <sheetFormatPr defaultColWidth="9.140625" defaultRowHeight="15" customHeight="1"/>
  <cols>
    <col min="1" max="1" width="4.7109375" style="101" customWidth="1"/>
    <col min="2" max="2" width="40.00390625" style="112" customWidth="1"/>
    <col min="3" max="3" width="23.8515625" style="101" customWidth="1"/>
    <col min="4" max="4" width="25.7109375" style="101" customWidth="1"/>
    <col min="5" max="5" width="19.421875" style="101" customWidth="1"/>
    <col min="6" max="6" width="36.8515625" style="101" customWidth="1"/>
    <col min="7" max="7" width="14.8515625" style="101" customWidth="1"/>
    <col min="8" max="16384" width="9.140625" style="101" customWidth="1"/>
  </cols>
  <sheetData>
    <row r="1" spans="6:9" ht="15" customHeight="1">
      <c r="F1" s="92"/>
      <c r="G1" s="92"/>
      <c r="H1" s="92"/>
      <c r="I1" s="92"/>
    </row>
    <row r="2" spans="1:6" ht="15" customHeight="1">
      <c r="A2" s="889" t="s">
        <v>40</v>
      </c>
      <c r="B2" s="889"/>
      <c r="C2" s="889"/>
      <c r="D2" s="889"/>
      <c r="E2" s="889"/>
      <c r="F2" s="92"/>
    </row>
    <row r="3" spans="1:6" ht="15" customHeight="1">
      <c r="A3" s="103"/>
      <c r="B3" s="178"/>
      <c r="C3" s="103"/>
      <c r="D3" s="104"/>
      <c r="E3" s="102"/>
      <c r="F3" s="92"/>
    </row>
    <row r="4" spans="1:9" ht="33.75" customHeight="1">
      <c r="A4" s="105" t="s">
        <v>576</v>
      </c>
      <c r="B4" s="179"/>
      <c r="C4" s="861" t="s">
        <v>494</v>
      </c>
      <c r="D4" s="861"/>
      <c r="E4" s="861"/>
      <c r="F4" s="861"/>
      <c r="G4" s="92"/>
      <c r="H4" s="92"/>
      <c r="I4" s="92"/>
    </row>
    <row r="6" spans="1:6" ht="49.5" customHeight="1">
      <c r="A6" s="63" t="s">
        <v>496</v>
      </c>
      <c r="B6" s="74" t="s">
        <v>537</v>
      </c>
      <c r="C6" s="74" t="s">
        <v>41</v>
      </c>
      <c r="D6" s="74" t="s">
        <v>42</v>
      </c>
      <c r="E6" s="74" t="s">
        <v>43</v>
      </c>
      <c r="F6" s="63" t="s">
        <v>3</v>
      </c>
    </row>
    <row r="7" spans="1:6" s="107" customFormat="1" ht="15" customHeight="1">
      <c r="A7" s="64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</row>
    <row r="8" spans="1:6" s="107" customFormat="1" ht="72" customHeight="1">
      <c r="A8" s="64">
        <v>1</v>
      </c>
      <c r="B8" s="713" t="s">
        <v>1080</v>
      </c>
      <c r="C8" s="118" t="s">
        <v>1082</v>
      </c>
      <c r="D8" s="714" t="s">
        <v>1081</v>
      </c>
      <c r="E8" s="66">
        <f>2850</f>
        <v>2850</v>
      </c>
      <c r="F8" s="711" t="s">
        <v>1079</v>
      </c>
    </row>
    <row r="9" spans="1:6" ht="57.75" customHeight="1">
      <c r="A9" s="64">
        <v>2</v>
      </c>
      <c r="B9" s="182" t="s">
        <v>44</v>
      </c>
      <c r="C9" s="118" t="s">
        <v>170</v>
      </c>
      <c r="D9" s="67" t="s">
        <v>208</v>
      </c>
      <c r="E9" s="656">
        <v>93800</v>
      </c>
      <c r="F9" s="658" t="s">
        <v>865</v>
      </c>
    </row>
    <row r="10" spans="1:6" ht="50.25" customHeight="1">
      <c r="A10" s="64">
        <v>3</v>
      </c>
      <c r="B10" s="183" t="s">
        <v>45</v>
      </c>
      <c r="C10" s="118" t="s">
        <v>170</v>
      </c>
      <c r="D10" s="145" t="s">
        <v>172</v>
      </c>
      <c r="E10" s="656">
        <f>119900</f>
        <v>119900</v>
      </c>
      <c r="F10" s="658" t="s">
        <v>690</v>
      </c>
    </row>
    <row r="11" spans="1:6" ht="63.75" customHeight="1">
      <c r="A11" s="64">
        <v>4</v>
      </c>
      <c r="B11" s="183" t="s">
        <v>46</v>
      </c>
      <c r="C11" s="145" t="s">
        <v>173</v>
      </c>
      <c r="D11" s="145" t="s">
        <v>210</v>
      </c>
      <c r="E11" s="656">
        <v>265000</v>
      </c>
      <c r="F11" s="657" t="s">
        <v>927</v>
      </c>
    </row>
    <row r="12" spans="1:6" ht="118.5" customHeight="1" hidden="1">
      <c r="A12" s="64">
        <v>7</v>
      </c>
      <c r="B12" s="183"/>
      <c r="C12" s="109"/>
      <c r="D12" s="109"/>
      <c r="E12" s="656"/>
      <c r="F12" s="659"/>
    </row>
    <row r="13" spans="1:6" ht="118.5" customHeight="1" hidden="1">
      <c r="A13" s="64"/>
      <c r="B13" s="183"/>
      <c r="C13" s="109"/>
      <c r="D13" s="109"/>
      <c r="E13" s="656"/>
      <c r="F13" s="659"/>
    </row>
    <row r="14" spans="1:6" ht="80.25" customHeight="1">
      <c r="A14" s="64">
        <v>5</v>
      </c>
      <c r="B14" s="183" t="s">
        <v>53</v>
      </c>
      <c r="C14" s="145" t="s">
        <v>175</v>
      </c>
      <c r="D14" s="145" t="s">
        <v>210</v>
      </c>
      <c r="E14" s="656">
        <v>7000</v>
      </c>
      <c r="F14" s="658" t="s">
        <v>694</v>
      </c>
    </row>
    <row r="15" spans="1:6" ht="80.25" customHeight="1">
      <c r="A15" s="64">
        <v>6</v>
      </c>
      <c r="B15" s="65" t="s">
        <v>54</v>
      </c>
      <c r="C15" s="86" t="s">
        <v>181</v>
      </c>
      <c r="D15" s="118" t="s">
        <v>210</v>
      </c>
      <c r="E15" s="656">
        <v>7500</v>
      </c>
      <c r="F15" s="660" t="s">
        <v>700</v>
      </c>
    </row>
    <row r="16" spans="1:6" ht="47.25" customHeight="1">
      <c r="A16" s="64">
        <v>7</v>
      </c>
      <c r="B16" s="65" t="s">
        <v>1002</v>
      </c>
      <c r="C16" s="86" t="s">
        <v>1004</v>
      </c>
      <c r="D16" s="118" t="s">
        <v>209</v>
      </c>
      <c r="E16" s="656">
        <v>6900</v>
      </c>
      <c r="F16" s="719" t="s">
        <v>1009</v>
      </c>
    </row>
    <row r="17" spans="1:7" ht="39" customHeight="1">
      <c r="A17" s="64"/>
      <c r="B17" s="184" t="s">
        <v>233</v>
      </c>
      <c r="C17" s="110" t="s">
        <v>546</v>
      </c>
      <c r="D17" s="110" t="s">
        <v>546</v>
      </c>
      <c r="E17" s="661">
        <f>SUM(E8:E16)</f>
        <v>502950</v>
      </c>
      <c r="F17" s="659"/>
      <c r="G17" s="111"/>
    </row>
    <row r="18" spans="5:6" ht="118.5" customHeight="1" hidden="1">
      <c r="E18" s="662"/>
      <c r="F18" s="663"/>
    </row>
    <row r="19" spans="1:6" ht="118.5" customHeight="1" hidden="1">
      <c r="A19" s="112" t="s">
        <v>576</v>
      </c>
      <c r="C19" s="113" t="s">
        <v>531</v>
      </c>
      <c r="D19" s="114"/>
      <c r="E19" s="664"/>
      <c r="F19" s="663"/>
    </row>
    <row r="20" spans="5:6" ht="118.5" customHeight="1" hidden="1">
      <c r="E20" s="663"/>
      <c r="F20" s="663"/>
    </row>
    <row r="21" spans="1:6" ht="118.5" customHeight="1" hidden="1">
      <c r="A21" s="63" t="s">
        <v>496</v>
      </c>
      <c r="B21" s="180" t="s">
        <v>537</v>
      </c>
      <c r="C21" s="74" t="s">
        <v>41</v>
      </c>
      <c r="D21" s="74" t="s">
        <v>42</v>
      </c>
      <c r="E21" s="665" t="s">
        <v>43</v>
      </c>
      <c r="F21" s="657" t="s">
        <v>3</v>
      </c>
    </row>
    <row r="22" spans="1:6" ht="27.75" customHeight="1" hidden="1">
      <c r="A22" s="64">
        <v>1</v>
      </c>
      <c r="B22" s="181">
        <v>2</v>
      </c>
      <c r="C22" s="106">
        <v>3</v>
      </c>
      <c r="D22" s="106">
        <v>4</v>
      </c>
      <c r="E22" s="666">
        <v>5</v>
      </c>
      <c r="F22" s="666">
        <v>6</v>
      </c>
    </row>
    <row r="23" spans="1:6" ht="60" customHeight="1">
      <c r="A23" s="64">
        <v>1</v>
      </c>
      <c r="B23" s="713" t="s">
        <v>1080</v>
      </c>
      <c r="C23" s="118" t="s">
        <v>1104</v>
      </c>
      <c r="D23" s="714" t="s">
        <v>1103</v>
      </c>
      <c r="E23" s="66">
        <f>50000+20000+9900+40000</f>
        <v>119900</v>
      </c>
      <c r="F23" s="711" t="s">
        <v>1102</v>
      </c>
    </row>
    <row r="24" spans="1:6" ht="64.5" customHeight="1">
      <c r="A24" s="64">
        <v>2</v>
      </c>
      <c r="B24" s="712" t="s">
        <v>981</v>
      </c>
      <c r="C24" s="63" t="s">
        <v>980</v>
      </c>
      <c r="D24" s="118" t="s">
        <v>210</v>
      </c>
      <c r="E24" s="656">
        <f>22800-9900</f>
        <v>12900</v>
      </c>
      <c r="F24" s="657" t="s">
        <v>1072</v>
      </c>
    </row>
    <row r="25" spans="1:6" ht="51.75" customHeight="1">
      <c r="A25" s="64">
        <v>3</v>
      </c>
      <c r="B25" s="183" t="s">
        <v>689</v>
      </c>
      <c r="C25" s="109" t="s">
        <v>174</v>
      </c>
      <c r="D25" s="145" t="s">
        <v>210</v>
      </c>
      <c r="E25" s="656">
        <v>17600</v>
      </c>
      <c r="F25" s="658" t="s">
        <v>928</v>
      </c>
    </row>
    <row r="26" spans="1:6" ht="60">
      <c r="A26" s="64">
        <v>4</v>
      </c>
      <c r="B26" s="65" t="s">
        <v>47</v>
      </c>
      <c r="C26" s="145" t="s">
        <v>175</v>
      </c>
      <c r="D26" s="118" t="s">
        <v>211</v>
      </c>
      <c r="E26" s="656">
        <f>4000+5000</f>
        <v>9000</v>
      </c>
      <c r="F26" s="658" t="s">
        <v>968</v>
      </c>
    </row>
    <row r="27" spans="1:6" ht="75">
      <c r="A27" s="64">
        <v>5</v>
      </c>
      <c r="B27" s="65" t="s">
        <v>48</v>
      </c>
      <c r="C27" s="108" t="s">
        <v>691</v>
      </c>
      <c r="D27" s="118" t="s">
        <v>212</v>
      </c>
      <c r="E27" s="667">
        <f>91200-29000</f>
        <v>62200</v>
      </c>
      <c r="F27" s="658" t="s">
        <v>692</v>
      </c>
    </row>
    <row r="28" spans="1:6" ht="63" customHeight="1">
      <c r="A28" s="64">
        <v>6</v>
      </c>
      <c r="B28" s="182" t="s">
        <v>44</v>
      </c>
      <c r="C28" s="118" t="s">
        <v>170</v>
      </c>
      <c r="D28" s="67" t="s">
        <v>208</v>
      </c>
      <c r="E28" s="656">
        <f>120800-13000-8000</f>
        <v>99800</v>
      </c>
      <c r="F28" s="658" t="s">
        <v>865</v>
      </c>
    </row>
    <row r="29" spans="1:6" ht="30" customHeight="1">
      <c r="A29" s="64">
        <v>7</v>
      </c>
      <c r="B29" s="183" t="s">
        <v>45</v>
      </c>
      <c r="C29" s="118" t="s">
        <v>170</v>
      </c>
      <c r="D29" s="145" t="s">
        <v>172</v>
      </c>
      <c r="E29" s="656">
        <f>118500-50000+13000+8000+29000</f>
        <v>118500</v>
      </c>
      <c r="F29" s="658" t="s">
        <v>690</v>
      </c>
    </row>
    <row r="30" spans="1:6" ht="59.25" customHeight="1">
      <c r="A30" s="64">
        <v>8</v>
      </c>
      <c r="B30" s="65" t="s">
        <v>49</v>
      </c>
      <c r="C30" s="86" t="s">
        <v>177</v>
      </c>
      <c r="D30" s="363" t="s">
        <v>707</v>
      </c>
      <c r="E30" s="656">
        <f>169300-49600-43700</f>
        <v>76000</v>
      </c>
      <c r="F30" s="658" t="s">
        <v>708</v>
      </c>
    </row>
    <row r="31" spans="1:6" ht="94.5" customHeight="1">
      <c r="A31" s="64">
        <v>9</v>
      </c>
      <c r="B31" s="65" t="s">
        <v>50</v>
      </c>
      <c r="C31" s="86" t="s">
        <v>178</v>
      </c>
      <c r="D31" s="118" t="s">
        <v>213</v>
      </c>
      <c r="E31" s="656">
        <v>40000</v>
      </c>
      <c r="F31" s="658" t="s">
        <v>1010</v>
      </c>
    </row>
    <row r="32" spans="1:6" ht="45">
      <c r="A32" s="64">
        <v>10</v>
      </c>
      <c r="B32" s="65" t="s">
        <v>51</v>
      </c>
      <c r="C32" s="86" t="s">
        <v>179</v>
      </c>
      <c r="D32" s="118" t="s">
        <v>213</v>
      </c>
      <c r="E32" s="656">
        <v>1400</v>
      </c>
      <c r="F32" s="658" t="s">
        <v>693</v>
      </c>
    </row>
    <row r="33" spans="1:6" ht="61.5" customHeight="1">
      <c r="A33" s="64">
        <v>11</v>
      </c>
      <c r="B33" s="183" t="s">
        <v>1051</v>
      </c>
      <c r="C33" s="145" t="s">
        <v>173</v>
      </c>
      <c r="D33" s="145" t="s">
        <v>210</v>
      </c>
      <c r="E33" s="656">
        <f>275000-20000-20000-60000</f>
        <v>175000</v>
      </c>
      <c r="F33" s="657" t="s">
        <v>1050</v>
      </c>
    </row>
    <row r="34" spans="1:6" ht="40.5" customHeight="1">
      <c r="A34" s="64">
        <v>12</v>
      </c>
      <c r="B34" s="183" t="s">
        <v>934</v>
      </c>
      <c r="C34" s="701" t="s">
        <v>935</v>
      </c>
      <c r="D34" s="145" t="s">
        <v>209</v>
      </c>
      <c r="E34" s="656">
        <f>20000+60000</f>
        <v>80000</v>
      </c>
      <c r="F34" s="657" t="s">
        <v>976</v>
      </c>
    </row>
    <row r="35" spans="1:6" ht="64.5" customHeight="1">
      <c r="A35" s="64">
        <v>13</v>
      </c>
      <c r="B35" s="65" t="s">
        <v>52</v>
      </c>
      <c r="C35" s="86" t="s">
        <v>180</v>
      </c>
      <c r="D35" s="118" t="s">
        <v>213</v>
      </c>
      <c r="E35" s="656">
        <v>14000</v>
      </c>
      <c r="F35" s="658" t="s">
        <v>706</v>
      </c>
    </row>
    <row r="36" spans="1:6" ht="63" customHeight="1">
      <c r="A36" s="64">
        <v>14</v>
      </c>
      <c r="B36" s="65" t="s">
        <v>53</v>
      </c>
      <c r="C36" s="86" t="s">
        <v>181</v>
      </c>
      <c r="D36" s="118" t="s">
        <v>210</v>
      </c>
      <c r="E36" s="656">
        <v>16000</v>
      </c>
      <c r="F36" s="658" t="s">
        <v>967</v>
      </c>
    </row>
    <row r="37" spans="1:6" ht="111.75" customHeight="1">
      <c r="A37" s="64">
        <v>15</v>
      </c>
      <c r="B37" s="65" t="s">
        <v>54</v>
      </c>
      <c r="C37" s="86" t="s">
        <v>181</v>
      </c>
      <c r="D37" s="118" t="s">
        <v>210</v>
      </c>
      <c r="E37" s="656">
        <v>33600</v>
      </c>
      <c r="F37" s="660" t="s">
        <v>962</v>
      </c>
    </row>
    <row r="38" spans="1:6" ht="66" customHeight="1">
      <c r="A38" s="64">
        <v>16</v>
      </c>
      <c r="B38" s="65" t="s">
        <v>55</v>
      </c>
      <c r="C38" s="86" t="s">
        <v>182</v>
      </c>
      <c r="D38" s="118" t="s">
        <v>214</v>
      </c>
      <c r="E38" s="656">
        <f>(600+650)/2*12*2</f>
        <v>15000</v>
      </c>
      <c r="F38" s="660" t="s">
        <v>705</v>
      </c>
    </row>
    <row r="39" spans="1:6" ht="72" customHeight="1">
      <c r="A39" s="64">
        <v>17</v>
      </c>
      <c r="B39" s="65" t="s">
        <v>56</v>
      </c>
      <c r="C39" s="118" t="s">
        <v>176</v>
      </c>
      <c r="D39" s="118" t="s">
        <v>213</v>
      </c>
      <c r="E39" s="656">
        <f>54900-20000</f>
        <v>34900</v>
      </c>
      <c r="F39" s="658" t="s">
        <v>1053</v>
      </c>
    </row>
    <row r="40" spans="1:6" ht="71.25" customHeight="1">
      <c r="A40" s="64">
        <v>18</v>
      </c>
      <c r="B40" s="183" t="s">
        <v>671</v>
      </c>
      <c r="C40" s="86" t="s">
        <v>181</v>
      </c>
      <c r="D40" s="147" t="s">
        <v>698</v>
      </c>
      <c r="E40" s="656">
        <v>15000</v>
      </c>
      <c r="F40" s="658" t="s">
        <v>697</v>
      </c>
    </row>
    <row r="41" spans="1:6" ht="57" customHeight="1">
      <c r="A41" s="64">
        <v>19</v>
      </c>
      <c r="B41" s="183" t="s">
        <v>68</v>
      </c>
      <c r="C41" s="86" t="s">
        <v>702</v>
      </c>
      <c r="D41" s="147" t="s">
        <v>701</v>
      </c>
      <c r="E41" s="656">
        <v>13800</v>
      </c>
      <c r="F41" s="658" t="s">
        <v>930</v>
      </c>
    </row>
    <row r="42" spans="1:6" ht="51" customHeight="1">
      <c r="A42" s="64">
        <v>20</v>
      </c>
      <c r="B42" s="725" t="s">
        <v>148</v>
      </c>
      <c r="C42" s="86" t="s">
        <v>183</v>
      </c>
      <c r="D42" s="118" t="s">
        <v>210</v>
      </c>
      <c r="E42" s="656">
        <f>21600-10800</f>
        <v>10800</v>
      </c>
      <c r="F42" s="658" t="s">
        <v>696</v>
      </c>
    </row>
    <row r="43" spans="1:6" ht="72" customHeight="1">
      <c r="A43" s="64">
        <v>21</v>
      </c>
      <c r="B43" s="174" t="s">
        <v>1019</v>
      </c>
      <c r="C43" s="86" t="s">
        <v>1020</v>
      </c>
      <c r="D43" s="118" t="s">
        <v>209</v>
      </c>
      <c r="E43" s="656">
        <v>23100</v>
      </c>
      <c r="F43" s="687" t="s">
        <v>1018</v>
      </c>
    </row>
    <row r="44" spans="1:6" ht="15" customHeight="1">
      <c r="A44" s="64"/>
      <c r="B44" s="185" t="s">
        <v>38</v>
      </c>
      <c r="C44" s="64" t="s">
        <v>546</v>
      </c>
      <c r="D44" s="118" t="s">
        <v>546</v>
      </c>
      <c r="E44" s="661">
        <f>SUM(E23:E43)</f>
        <v>988500</v>
      </c>
      <c r="F44" s="659"/>
    </row>
    <row r="45" spans="1:6" ht="15" customHeight="1">
      <c r="A45" s="64"/>
      <c r="B45" s="79" t="s">
        <v>231</v>
      </c>
      <c r="C45" s="64" t="s">
        <v>546</v>
      </c>
      <c r="D45" s="64" t="s">
        <v>546</v>
      </c>
      <c r="E45" s="146">
        <f>E44+E17</f>
        <v>1491450</v>
      </c>
      <c r="F45" s="64"/>
    </row>
    <row r="46" ht="15.75" customHeight="1"/>
  </sheetData>
  <sheetProtection selectLockedCells="1" selectUnlockedCells="1"/>
  <mergeCells count="2">
    <mergeCell ref="A2:E2"/>
    <mergeCell ref="C4:F4"/>
  </mergeCells>
  <printOptions/>
  <pageMargins left="0.7480314960629921" right="0.2362204724409449" top="0.71" bottom="0.67" header="0.5118110236220472" footer="0.27"/>
  <pageSetup fitToHeight="2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PageLayoutView="0" workbookViewId="0" topLeftCell="A19">
      <selection activeCell="H26" sqref="H26"/>
    </sheetView>
  </sheetViews>
  <sheetFormatPr defaultColWidth="9.140625" defaultRowHeight="15" customHeight="1"/>
  <cols>
    <col min="1" max="1" width="4.7109375" style="116" customWidth="1"/>
    <col min="2" max="2" width="35.140625" style="1" customWidth="1"/>
    <col min="3" max="3" width="13.57421875" style="1" customWidth="1"/>
    <col min="4" max="4" width="19.8515625" style="1" customWidth="1"/>
    <col min="5" max="5" width="43.57421875" style="1" customWidth="1"/>
    <col min="6" max="16384" width="9.140625" style="1" customWidth="1"/>
  </cols>
  <sheetData>
    <row r="1" spans="5:7" ht="2.25" customHeight="1">
      <c r="E1" s="57"/>
      <c r="F1" s="57"/>
      <c r="G1" s="57"/>
    </row>
    <row r="2" spans="1:5" ht="15" customHeight="1">
      <c r="A2" s="845" t="s">
        <v>57</v>
      </c>
      <c r="B2" s="845"/>
      <c r="C2" s="845"/>
      <c r="D2" s="845"/>
      <c r="E2" s="57"/>
    </row>
    <row r="3" spans="1:5" ht="15" customHeight="1">
      <c r="A3" s="56"/>
      <c r="B3" s="56"/>
      <c r="C3" s="56"/>
      <c r="D3" s="56"/>
      <c r="E3" s="57"/>
    </row>
    <row r="4" spans="1:8" s="101" customFormat="1" ht="30.75" customHeight="1">
      <c r="A4" s="105" t="s">
        <v>576</v>
      </c>
      <c r="B4" s="105"/>
      <c r="C4" s="861" t="s">
        <v>494</v>
      </c>
      <c r="D4" s="861"/>
      <c r="E4" s="861"/>
      <c r="F4" s="92"/>
      <c r="G4" s="92"/>
      <c r="H4" s="92"/>
    </row>
    <row r="5" spans="1:5" ht="15" customHeight="1">
      <c r="A5" s="56"/>
      <c r="B5" s="56"/>
      <c r="C5" s="56"/>
      <c r="D5" s="56"/>
      <c r="E5" s="57"/>
    </row>
    <row r="6" spans="1:5" ht="34.5" customHeight="1">
      <c r="A6" s="304" t="s">
        <v>496</v>
      </c>
      <c r="B6" s="304" t="s">
        <v>537</v>
      </c>
      <c r="C6" s="304" t="s">
        <v>58</v>
      </c>
      <c r="D6" s="304" t="s">
        <v>59</v>
      </c>
      <c r="E6" s="304" t="s">
        <v>3</v>
      </c>
    </row>
    <row r="7" spans="1:5" ht="15" customHeight="1">
      <c r="A7" s="394">
        <v>1</v>
      </c>
      <c r="B7" s="157">
        <v>2</v>
      </c>
      <c r="C7" s="157">
        <v>3</v>
      </c>
      <c r="D7" s="157">
        <v>4</v>
      </c>
      <c r="E7" s="157">
        <v>5</v>
      </c>
    </row>
    <row r="8" spans="1:5" s="101" customFormat="1" ht="99" customHeight="1">
      <c r="A8" s="394">
        <v>1</v>
      </c>
      <c r="B8" s="684" t="s">
        <v>652</v>
      </c>
      <c r="C8" s="685" t="s">
        <v>963</v>
      </c>
      <c r="D8" s="686">
        <f>306500+3000</f>
        <v>309500</v>
      </c>
      <c r="E8" s="707" t="s">
        <v>1052</v>
      </c>
    </row>
    <row r="9" spans="1:5" ht="15" customHeight="1">
      <c r="A9" s="157"/>
      <c r="B9" s="688" t="s">
        <v>587</v>
      </c>
      <c r="C9" s="394" t="s">
        <v>546</v>
      </c>
      <c r="D9" s="689">
        <f>SUM(D8:D8)</f>
        <v>309500</v>
      </c>
      <c r="E9" s="690"/>
    </row>
    <row r="10" spans="1:5" s="101" customFormat="1" ht="143.25" customHeight="1">
      <c r="A10" s="394">
        <v>1</v>
      </c>
      <c r="B10" s="684" t="s">
        <v>652</v>
      </c>
      <c r="C10" s="685" t="s">
        <v>963</v>
      </c>
      <c r="D10" s="686">
        <f>1135000-3000-33000-100000</f>
        <v>999000</v>
      </c>
      <c r="E10" s="707" t="s">
        <v>1061</v>
      </c>
    </row>
    <row r="11" spans="1:5" ht="39">
      <c r="A11" s="394">
        <v>2</v>
      </c>
      <c r="B11" s="306" t="s">
        <v>60</v>
      </c>
      <c r="C11" s="685" t="s">
        <v>215</v>
      </c>
      <c r="D11" s="686">
        <v>19000</v>
      </c>
      <c r="E11" s="687" t="s">
        <v>716</v>
      </c>
    </row>
    <row r="12" spans="1:5" ht="55.5" customHeight="1">
      <c r="A12" s="394">
        <v>3</v>
      </c>
      <c r="B12" s="306" t="s">
        <v>61</v>
      </c>
      <c r="C12" s="685" t="s">
        <v>215</v>
      </c>
      <c r="D12" s="686">
        <v>2500</v>
      </c>
      <c r="E12" s="687" t="s">
        <v>907</v>
      </c>
    </row>
    <row r="13" spans="1:5" ht="56.25" customHeight="1">
      <c r="A13" s="394">
        <v>4</v>
      </c>
      <c r="B13" s="306" t="s">
        <v>62</v>
      </c>
      <c r="C13" s="685" t="s">
        <v>215</v>
      </c>
      <c r="D13" s="686">
        <f>6*800</f>
        <v>4800</v>
      </c>
      <c r="E13" s="687" t="s">
        <v>719</v>
      </c>
    </row>
    <row r="14" spans="1:5" ht="44.25" customHeight="1">
      <c r="A14" s="394">
        <v>5</v>
      </c>
      <c r="B14" s="691" t="s">
        <v>217</v>
      </c>
      <c r="C14" s="685" t="s">
        <v>215</v>
      </c>
      <c r="D14" s="686">
        <f>4500+10000</f>
        <v>14500</v>
      </c>
      <c r="E14" s="687" t="s">
        <v>715</v>
      </c>
    </row>
    <row r="15" spans="1:5" ht="24" customHeight="1">
      <c r="A15" s="394">
        <v>6</v>
      </c>
      <c r="B15" s="306" t="s">
        <v>712</v>
      </c>
      <c r="C15" s="685" t="s">
        <v>215</v>
      </c>
      <c r="D15" s="686">
        <v>160000</v>
      </c>
      <c r="E15" s="687" t="s">
        <v>713</v>
      </c>
    </row>
    <row r="16" spans="1:5" ht="60" customHeight="1">
      <c r="A16" s="394">
        <v>7</v>
      </c>
      <c r="B16" s="306" t="s">
        <v>1077</v>
      </c>
      <c r="C16" s="685" t="s">
        <v>972</v>
      </c>
      <c r="D16" s="686">
        <v>30000</v>
      </c>
      <c r="E16" s="692" t="s">
        <v>1078</v>
      </c>
    </row>
    <row r="17" spans="1:5" ht="38.25" customHeight="1">
      <c r="A17" s="394">
        <v>8</v>
      </c>
      <c r="B17" s="505" t="s">
        <v>607</v>
      </c>
      <c r="C17" s="685" t="s">
        <v>215</v>
      </c>
      <c r="D17" s="686">
        <v>38400</v>
      </c>
      <c r="E17" s="692" t="s">
        <v>1054</v>
      </c>
    </row>
    <row r="18" spans="1:5" ht="27.75" customHeight="1">
      <c r="A18" s="394">
        <v>9</v>
      </c>
      <c r="B18" s="693" t="s">
        <v>1071</v>
      </c>
      <c r="C18" s="685" t="s">
        <v>215</v>
      </c>
      <c r="D18" s="686">
        <f>42000-20000-1000-10000-3000-1000</f>
        <v>7000</v>
      </c>
      <c r="E18" s="687" t="s">
        <v>1073</v>
      </c>
    </row>
    <row r="19" spans="1:5" ht="26.25">
      <c r="A19" s="394">
        <v>10</v>
      </c>
      <c r="B19" s="693" t="s">
        <v>908</v>
      </c>
      <c r="C19" s="685" t="s">
        <v>215</v>
      </c>
      <c r="D19" s="686">
        <v>14400</v>
      </c>
      <c r="E19" s="687" t="s">
        <v>904</v>
      </c>
    </row>
    <row r="20" spans="1:5" ht="26.25">
      <c r="A20" s="394">
        <v>11</v>
      </c>
      <c r="B20" s="693" t="s">
        <v>906</v>
      </c>
      <c r="C20" s="685" t="s">
        <v>989</v>
      </c>
      <c r="D20" s="686">
        <f>130800-1000+80000</f>
        <v>209800</v>
      </c>
      <c r="E20" s="694" t="s">
        <v>913</v>
      </c>
    </row>
    <row r="21" spans="1:5" ht="65.25" customHeight="1">
      <c r="A21" s="394">
        <v>12</v>
      </c>
      <c r="B21" s="693" t="s">
        <v>910</v>
      </c>
      <c r="C21" s="685" t="s">
        <v>912</v>
      </c>
      <c r="D21" s="686">
        <f>265400-80000+54650+20000+100000+32700+5200</f>
        <v>397950</v>
      </c>
      <c r="E21" s="695" t="s">
        <v>1112</v>
      </c>
    </row>
    <row r="22" spans="1:5" ht="25.5">
      <c r="A22" s="394">
        <v>13</v>
      </c>
      <c r="B22" s="693" t="s">
        <v>916</v>
      </c>
      <c r="C22" s="685" t="s">
        <v>215</v>
      </c>
      <c r="D22" s="686">
        <v>20870</v>
      </c>
      <c r="E22" s="695" t="s">
        <v>961</v>
      </c>
    </row>
    <row r="23" spans="1:5" ht="15">
      <c r="A23" s="394">
        <v>14</v>
      </c>
      <c r="B23" s="693" t="s">
        <v>918</v>
      </c>
      <c r="C23" s="685" t="s">
        <v>215</v>
      </c>
      <c r="D23" s="686">
        <v>2500</v>
      </c>
      <c r="E23" s="695" t="s">
        <v>929</v>
      </c>
    </row>
    <row r="24" spans="1:5" ht="25.5">
      <c r="A24" s="394">
        <v>15</v>
      </c>
      <c r="B24" s="693" t="s">
        <v>970</v>
      </c>
      <c r="C24" s="685" t="s">
        <v>215</v>
      </c>
      <c r="D24" s="686">
        <v>1000</v>
      </c>
      <c r="E24" s="695" t="s">
        <v>971</v>
      </c>
    </row>
    <row r="25" spans="1:5" ht="15">
      <c r="A25" s="394">
        <v>16</v>
      </c>
      <c r="B25" s="693" t="s">
        <v>977</v>
      </c>
      <c r="C25" s="685" t="s">
        <v>978</v>
      </c>
      <c r="D25" s="686">
        <v>33000</v>
      </c>
      <c r="E25" s="695" t="s">
        <v>979</v>
      </c>
    </row>
    <row r="26" spans="1:5" ht="51">
      <c r="A26" s="394">
        <v>17</v>
      </c>
      <c r="B26" s="693" t="s">
        <v>1064</v>
      </c>
      <c r="C26" s="685">
        <v>1</v>
      </c>
      <c r="D26" s="686">
        <f>1000+1000</f>
        <v>2000</v>
      </c>
      <c r="E26" s="695" t="s">
        <v>1089</v>
      </c>
    </row>
    <row r="27" spans="1:5" ht="52.5" customHeight="1">
      <c r="A27" s="394" t="s">
        <v>1085</v>
      </c>
      <c r="B27" s="673" t="s">
        <v>1083</v>
      </c>
      <c r="C27" s="685">
        <v>6</v>
      </c>
      <c r="D27" s="686">
        <f>3000+6000</f>
        <v>9000</v>
      </c>
      <c r="E27" s="695" t="s">
        <v>1096</v>
      </c>
    </row>
    <row r="28" spans="1:5" ht="26.25">
      <c r="A28" s="394">
        <v>19</v>
      </c>
      <c r="B28" s="673" t="s">
        <v>1115</v>
      </c>
      <c r="C28" s="685">
        <v>6</v>
      </c>
      <c r="D28" s="686">
        <v>54600</v>
      </c>
      <c r="E28" s="695" t="s">
        <v>979</v>
      </c>
    </row>
    <row r="29" spans="1:5" ht="15" customHeight="1">
      <c r="A29" s="157"/>
      <c r="B29" s="688" t="s">
        <v>38</v>
      </c>
      <c r="C29" s="394" t="s">
        <v>546</v>
      </c>
      <c r="D29" s="689">
        <f>SUM(D10:D28)</f>
        <v>2020320</v>
      </c>
      <c r="E29" s="690"/>
    </row>
    <row r="30" spans="1:5" ht="11.25" customHeight="1">
      <c r="A30" s="590"/>
      <c r="B30" s="421"/>
      <c r="C30" s="421"/>
      <c r="D30" s="421"/>
      <c r="E30" s="421"/>
    </row>
    <row r="31" spans="1:6" s="101" customFormat="1" ht="16.5" customHeight="1">
      <c r="A31" s="394">
        <v>1</v>
      </c>
      <c r="B31" s="696" t="s">
        <v>600</v>
      </c>
      <c r="C31" s="394" t="s">
        <v>710</v>
      </c>
      <c r="D31" s="697">
        <v>161100</v>
      </c>
      <c r="E31" s="694" t="s">
        <v>973</v>
      </c>
      <c r="F31" s="92"/>
    </row>
    <row r="32" spans="1:6" s="101" customFormat="1" ht="39" customHeight="1">
      <c r="A32" s="394"/>
      <c r="B32" s="698" t="s">
        <v>184</v>
      </c>
      <c r="C32" s="394" t="s">
        <v>546</v>
      </c>
      <c r="D32" s="699">
        <v>161100</v>
      </c>
      <c r="E32" s="700"/>
      <c r="F32" s="92"/>
    </row>
    <row r="33" spans="1:5" ht="15.75" customHeight="1">
      <c r="A33" s="157"/>
      <c r="B33" s="393" t="s">
        <v>231</v>
      </c>
      <c r="C33" s="156"/>
      <c r="D33" s="633">
        <f>D9+D29+D32</f>
        <v>2490920</v>
      </c>
      <c r="E33" s="156"/>
    </row>
  </sheetData>
  <sheetProtection selectLockedCells="1" selectUnlockedCells="1"/>
  <mergeCells count="2">
    <mergeCell ref="C4:E4"/>
    <mergeCell ref="A2:D2"/>
  </mergeCells>
  <printOptions/>
  <pageMargins left="0.7480314960629921" right="0.2755905511811024" top="0.3937007874015748" bottom="0.3937007874015748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C50"/>
  <sheetViews>
    <sheetView view="pageBreakPreview" zoomScale="85" zoomScaleSheetLayoutView="85" zoomScalePageLayoutView="0" workbookViewId="0" topLeftCell="A28">
      <selection activeCell="AI34" sqref="AI34"/>
    </sheetView>
  </sheetViews>
  <sheetFormatPr defaultColWidth="9.140625" defaultRowHeight="15.75" customHeight="1"/>
  <cols>
    <col min="1" max="28" width="4.57421875" style="54" customWidth="1"/>
    <col min="29" max="16384" width="9.140625" style="54" customWidth="1"/>
  </cols>
  <sheetData>
    <row r="1" spans="20:29" ht="75" customHeight="1" hidden="1">
      <c r="T1" s="772" t="s">
        <v>251</v>
      </c>
      <c r="U1" s="772"/>
      <c r="V1" s="772"/>
      <c r="W1" s="772"/>
      <c r="X1" s="772"/>
      <c r="Y1" s="772"/>
      <c r="Z1" s="772"/>
      <c r="AA1" s="772"/>
      <c r="AB1" s="772"/>
      <c r="AC1" s="772"/>
    </row>
    <row r="2" spans="22:24" ht="15.75" customHeight="1" hidden="1">
      <c r="V2" s="199"/>
      <c r="W2" s="199"/>
      <c r="X2" s="199"/>
    </row>
    <row r="3" spans="21:26" ht="15.75" customHeight="1" hidden="1">
      <c r="U3" s="755" t="s">
        <v>273</v>
      </c>
      <c r="V3" s="755"/>
      <c r="W3" s="755"/>
      <c r="X3" s="755"/>
      <c r="Y3" s="755"/>
      <c r="Z3" s="755"/>
    </row>
    <row r="4" spans="21:29" ht="15.75" customHeight="1" hidden="1">
      <c r="U4" s="773" t="s">
        <v>253</v>
      </c>
      <c r="V4" s="773"/>
      <c r="W4" s="773"/>
      <c r="X4" s="773"/>
      <c r="Y4" s="773"/>
      <c r="Z4" s="773"/>
      <c r="AA4" s="773"/>
      <c r="AB4" s="773"/>
      <c r="AC4" s="773"/>
    </row>
    <row r="5" spans="1:29" ht="15.75" customHeight="1" hidden="1">
      <c r="A5" s="201"/>
      <c r="B5" s="201"/>
      <c r="C5" s="201"/>
      <c r="D5" s="201"/>
      <c r="E5" s="202"/>
      <c r="F5" s="202"/>
      <c r="G5" s="202"/>
      <c r="H5" s="202"/>
      <c r="I5" s="202"/>
      <c r="J5" s="202"/>
      <c r="K5" s="202"/>
      <c r="U5" s="773"/>
      <c r="V5" s="773"/>
      <c r="W5" s="773"/>
      <c r="X5" s="773"/>
      <c r="Y5" s="773"/>
      <c r="Z5" s="773"/>
      <c r="AA5" s="773"/>
      <c r="AB5" s="773"/>
      <c r="AC5" s="773"/>
    </row>
    <row r="6" spans="1:21" ht="15.75" customHeight="1" hidden="1">
      <c r="A6" s="202"/>
      <c r="B6" s="202"/>
      <c r="C6" s="203"/>
      <c r="D6" s="203"/>
      <c r="E6" s="203"/>
      <c r="F6" s="203"/>
      <c r="G6" s="202"/>
      <c r="H6" s="202"/>
      <c r="I6" s="202"/>
      <c r="J6" s="202"/>
      <c r="K6" s="202"/>
      <c r="U6" s="202"/>
    </row>
    <row r="7" spans="1:25" ht="15.75" customHeight="1" hidden="1">
      <c r="A7" s="202"/>
      <c r="B7" s="202"/>
      <c r="C7" s="202"/>
      <c r="D7" s="202"/>
      <c r="E7" s="202"/>
      <c r="F7" s="204"/>
      <c r="G7" s="202"/>
      <c r="H7" s="202"/>
      <c r="I7" s="202"/>
      <c r="J7" s="202"/>
      <c r="K7" s="202"/>
      <c r="U7" s="205"/>
      <c r="V7" s="206"/>
      <c r="W7" s="206"/>
      <c r="X7" s="206"/>
      <c r="Y7" s="54" t="s">
        <v>274</v>
      </c>
    </row>
    <row r="8" spans="1:21" ht="18.75" customHeight="1" hidden="1">
      <c r="A8" s="202"/>
      <c r="B8" s="202"/>
      <c r="C8" s="202"/>
      <c r="D8" s="202"/>
      <c r="E8" s="202"/>
      <c r="F8" s="204"/>
      <c r="G8" s="202"/>
      <c r="H8" s="202"/>
      <c r="I8" s="202"/>
      <c r="J8" s="202"/>
      <c r="K8" s="202"/>
      <c r="L8" s="202"/>
      <c r="U8" s="54" t="s">
        <v>223</v>
      </c>
    </row>
    <row r="9" spans="1:12" ht="18.75" customHeight="1" hidden="1">
      <c r="A9" s="202"/>
      <c r="B9" s="202"/>
      <c r="C9" s="202"/>
      <c r="D9" s="202"/>
      <c r="E9" s="202"/>
      <c r="F9" s="204"/>
      <c r="G9" s="202"/>
      <c r="H9" s="202"/>
      <c r="I9" s="202"/>
      <c r="J9" s="202"/>
      <c r="K9" s="202"/>
      <c r="L9" s="202"/>
    </row>
    <row r="10" spans="1:20" ht="17.25" customHeight="1" hidden="1">
      <c r="A10" s="756" t="s">
        <v>275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</row>
    <row r="11" spans="1:27" ht="15.75" customHeight="1" hidden="1">
      <c r="A11" s="756" t="s">
        <v>276</v>
      </c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Y11" s="757" t="s">
        <v>277</v>
      </c>
      <c r="Z11" s="757"/>
      <c r="AA11" s="757"/>
    </row>
    <row r="12" spans="1:27" ht="17.25" customHeight="1" hidden="1">
      <c r="A12" s="756" t="s">
        <v>278</v>
      </c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Y12" s="760"/>
      <c r="Z12" s="760"/>
      <c r="AA12" s="760"/>
    </row>
    <row r="13" spans="22:27" ht="15.75" customHeight="1" hidden="1">
      <c r="V13" s="758" t="s">
        <v>279</v>
      </c>
      <c r="W13" s="758"/>
      <c r="X13" s="758"/>
      <c r="Y13" s="759"/>
      <c r="Z13" s="759"/>
      <c r="AA13" s="759"/>
    </row>
    <row r="14" spans="1:27" ht="17.25" customHeight="1" hidden="1">
      <c r="A14" s="35" t="s">
        <v>280</v>
      </c>
      <c r="B14" s="35"/>
      <c r="C14" s="35"/>
      <c r="D14" s="35"/>
      <c r="E14" s="35"/>
      <c r="F14" s="35"/>
      <c r="G14" s="35"/>
      <c r="H14" s="761" t="s">
        <v>281</v>
      </c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58"/>
      <c r="W14" s="758"/>
      <c r="X14" s="758"/>
      <c r="Y14" s="759"/>
      <c r="Z14" s="759"/>
      <c r="AA14" s="759"/>
    </row>
    <row r="15" spans="1:27" ht="17.25" customHeight="1" hidden="1">
      <c r="A15" s="35" t="s">
        <v>282</v>
      </c>
      <c r="B15" s="35"/>
      <c r="C15" s="35"/>
      <c r="D15" s="35"/>
      <c r="E15" s="35"/>
      <c r="F15" s="35"/>
      <c r="G15" s="35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58" t="s">
        <v>283</v>
      </c>
      <c r="W15" s="758"/>
      <c r="X15" s="758"/>
      <c r="Y15" s="753" t="s">
        <v>284</v>
      </c>
      <c r="Z15" s="753"/>
      <c r="AA15" s="753"/>
    </row>
    <row r="16" spans="1:27" ht="17.25" customHeight="1" hidden="1">
      <c r="A16" s="35" t="s">
        <v>285</v>
      </c>
      <c r="B16" s="202"/>
      <c r="C16" s="202"/>
      <c r="D16" s="207"/>
      <c r="E16" s="207"/>
      <c r="F16" s="207"/>
      <c r="G16" s="207"/>
      <c r="H16" s="207"/>
      <c r="I16" s="207"/>
      <c r="J16" s="207"/>
      <c r="K16" s="207"/>
      <c r="L16" s="207"/>
      <c r="V16" s="758"/>
      <c r="W16" s="758"/>
      <c r="X16" s="758"/>
      <c r="Y16" s="754" t="s">
        <v>286</v>
      </c>
      <c r="Z16" s="754"/>
      <c r="AA16" s="754"/>
    </row>
    <row r="17" spans="1:27" ht="15.75" customHeight="1" hidden="1">
      <c r="A17" s="208" t="s">
        <v>287</v>
      </c>
      <c r="B17" s="202"/>
      <c r="C17" s="202"/>
      <c r="D17" s="202"/>
      <c r="E17" s="202"/>
      <c r="F17" s="202"/>
      <c r="G17" s="202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58" t="s">
        <v>288</v>
      </c>
      <c r="W17" s="758"/>
      <c r="X17" s="758"/>
      <c r="Y17" s="759">
        <v>53998843</v>
      </c>
      <c r="Z17" s="759"/>
      <c r="AA17" s="759"/>
    </row>
    <row r="18" spans="2:27" ht="15.75" customHeight="1" hidden="1">
      <c r="B18" s="35"/>
      <c r="C18" s="35"/>
      <c r="D18" s="35"/>
      <c r="E18" s="35"/>
      <c r="F18" s="35"/>
      <c r="G18" s="35"/>
      <c r="H18" s="202"/>
      <c r="I18" s="202"/>
      <c r="J18" s="202"/>
      <c r="K18" s="202"/>
      <c r="L18" s="202"/>
      <c r="V18" s="758" t="s">
        <v>289</v>
      </c>
      <c r="W18" s="758"/>
      <c r="X18" s="758"/>
      <c r="Y18" s="759">
        <v>14</v>
      </c>
      <c r="Z18" s="759"/>
      <c r="AA18" s="759"/>
    </row>
    <row r="19" spans="1:27" ht="15.75" customHeight="1" hidden="1">
      <c r="A19" s="208" t="s">
        <v>290</v>
      </c>
      <c r="B19" s="35"/>
      <c r="C19" s="35"/>
      <c r="D19" s="35"/>
      <c r="E19" s="35"/>
      <c r="F19" s="35"/>
      <c r="G19" s="35"/>
      <c r="H19" s="775" t="s">
        <v>291</v>
      </c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58" t="s">
        <v>292</v>
      </c>
      <c r="W19" s="758"/>
      <c r="X19" s="758"/>
      <c r="Y19" s="759">
        <v>19730000</v>
      </c>
      <c r="Z19" s="759"/>
      <c r="AA19" s="759"/>
    </row>
    <row r="20" spans="1:27" ht="18.75" customHeight="1" hidden="1">
      <c r="A20" s="35" t="s">
        <v>293</v>
      </c>
      <c r="B20" s="35"/>
      <c r="C20" s="35"/>
      <c r="D20" s="35"/>
      <c r="E20" s="35"/>
      <c r="F20" s="35"/>
      <c r="G20" s="3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58" t="s">
        <v>294</v>
      </c>
      <c r="W20" s="758"/>
      <c r="X20" s="758"/>
      <c r="Y20" s="759">
        <v>20903</v>
      </c>
      <c r="Z20" s="759"/>
      <c r="AA20" s="759"/>
    </row>
    <row r="21" spans="1:27" ht="18.75" customHeight="1" hidden="1">
      <c r="A21" s="35" t="s">
        <v>295</v>
      </c>
      <c r="B21" s="35"/>
      <c r="C21" s="35"/>
      <c r="F21" s="35"/>
      <c r="G21" s="35"/>
      <c r="H21" s="209" t="s">
        <v>296</v>
      </c>
      <c r="I21" s="210"/>
      <c r="J21" s="210"/>
      <c r="K21" s="210"/>
      <c r="L21" s="210"/>
      <c r="M21" s="211"/>
      <c r="N21" s="211"/>
      <c r="O21" s="211"/>
      <c r="P21" s="211"/>
      <c r="Q21" s="211"/>
      <c r="R21" s="211"/>
      <c r="S21" s="211"/>
      <c r="T21" s="211"/>
      <c r="U21" s="211"/>
      <c r="V21" s="758" t="s">
        <v>297</v>
      </c>
      <c r="W21" s="758"/>
      <c r="X21" s="758"/>
      <c r="Y21" s="759">
        <v>4210007</v>
      </c>
      <c r="Z21" s="759"/>
      <c r="AA21" s="759"/>
    </row>
    <row r="22" spans="1:27" ht="15.75" customHeight="1" hidden="1">
      <c r="A22" s="204"/>
      <c r="B22" s="204"/>
      <c r="C22" s="204"/>
      <c r="D22" s="204"/>
      <c r="E22" s="204"/>
      <c r="F22" s="35"/>
      <c r="G22" s="35"/>
      <c r="H22" s="212"/>
      <c r="I22" s="212"/>
      <c r="J22" s="212"/>
      <c r="K22" s="202"/>
      <c r="L22" s="202"/>
      <c r="V22" s="758" t="s">
        <v>298</v>
      </c>
      <c r="W22" s="758"/>
      <c r="X22" s="758"/>
      <c r="Y22" s="759">
        <v>383</v>
      </c>
      <c r="Z22" s="759"/>
      <c r="AA22" s="759"/>
    </row>
    <row r="23" spans="1:16" ht="15.75" customHeight="1" hidden="1">
      <c r="A23" s="213"/>
      <c r="B23" s="213"/>
      <c r="C23" s="213"/>
      <c r="D23" s="213"/>
      <c r="E23" s="213"/>
      <c r="F23" s="213"/>
      <c r="G23" s="213"/>
      <c r="H23" s="214"/>
      <c r="I23" s="215"/>
      <c r="J23" s="215"/>
      <c r="K23" s="212"/>
      <c r="L23" s="212"/>
      <c r="M23" s="215"/>
      <c r="N23" s="215"/>
      <c r="O23" s="215"/>
      <c r="P23" s="215"/>
    </row>
    <row r="24" spans="1:16" ht="15.75" customHeight="1" hidden="1">
      <c r="A24" s="35" t="s">
        <v>299</v>
      </c>
      <c r="B24" s="35"/>
      <c r="C24" s="35"/>
      <c r="D24" s="35"/>
      <c r="E24" s="35"/>
      <c r="F24" s="35"/>
      <c r="G24" s="200"/>
      <c r="H24" s="216"/>
      <c r="I24" s="215"/>
      <c r="J24" s="215"/>
      <c r="K24" s="212"/>
      <c r="L24" s="212"/>
      <c r="M24" s="215"/>
      <c r="N24" s="215"/>
      <c r="O24" s="215"/>
      <c r="P24" s="215"/>
    </row>
    <row r="25" spans="1:16" ht="15.75" customHeight="1" hidden="1">
      <c r="A25" s="35" t="s">
        <v>252</v>
      </c>
      <c r="B25" s="35"/>
      <c r="C25" s="35"/>
      <c r="D25" s="35"/>
      <c r="E25" s="35"/>
      <c r="F25" s="35"/>
      <c r="G25" s="200"/>
      <c r="H25" s="216"/>
      <c r="I25" s="215"/>
      <c r="J25" s="215"/>
      <c r="K25" s="212"/>
      <c r="L25" s="212"/>
      <c r="M25" s="215"/>
      <c r="N25" s="215"/>
      <c r="O25" s="215"/>
      <c r="P25" s="215"/>
    </row>
    <row r="26" spans="1:16" ht="15.75" customHeight="1" hidden="1">
      <c r="A26" s="35"/>
      <c r="B26" s="35"/>
      <c r="C26" s="35"/>
      <c r="D26" s="35"/>
      <c r="E26" s="35"/>
      <c r="F26" s="35"/>
      <c r="G26" s="200"/>
      <c r="H26" s="216"/>
      <c r="I26" s="215"/>
      <c r="J26" s="215"/>
      <c r="K26" s="212"/>
      <c r="L26" s="212"/>
      <c r="M26" s="215"/>
      <c r="N26" s="215"/>
      <c r="O26" s="215"/>
      <c r="P26" s="215"/>
    </row>
    <row r="27" ht="15.75" customHeight="1" hidden="1"/>
    <row r="28" spans="1:29" ht="15.75" customHeight="1">
      <c r="A28" s="774" t="s">
        <v>300</v>
      </c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  <c r="Z28" s="774"/>
      <c r="AA28" s="774"/>
      <c r="AB28" s="774"/>
      <c r="AC28" s="774"/>
    </row>
    <row r="29" spans="1:29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15.75" customHeight="1">
      <c r="A30" s="279" t="s">
        <v>301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63" customHeight="1">
      <c r="A31" s="280" t="s">
        <v>302</v>
      </c>
      <c r="B31" s="764" t="s">
        <v>303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764"/>
    </row>
    <row r="32" spans="1:29" ht="27" customHeight="1">
      <c r="A32" s="768" t="s">
        <v>304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  <c r="AB32" s="767"/>
      <c r="AC32" s="767"/>
    </row>
    <row r="33" spans="1:29" ht="78.75" customHeight="1">
      <c r="A33" s="203" t="s">
        <v>263</v>
      </c>
      <c r="B33" s="777" t="s">
        <v>305</v>
      </c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</row>
    <row r="34" spans="1:29" ht="34.5" customHeight="1">
      <c r="A34" s="281" t="s">
        <v>306</v>
      </c>
      <c r="B34" s="765" t="s">
        <v>307</v>
      </c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</row>
    <row r="35" spans="1:29" ht="38.25" customHeight="1">
      <c r="A35" s="35"/>
      <c r="B35" s="765" t="s">
        <v>308</v>
      </c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766"/>
      <c r="Y35" s="766"/>
      <c r="Z35" s="766"/>
      <c r="AA35" s="766"/>
      <c r="AB35" s="766"/>
      <c r="AC35" s="766"/>
    </row>
    <row r="36" spans="1:29" ht="7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34.5" customHeight="1">
      <c r="A37" s="778" t="s">
        <v>309</v>
      </c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8"/>
      <c r="R37" s="778"/>
      <c r="S37" s="778"/>
      <c r="T37" s="763" t="s">
        <v>310</v>
      </c>
      <c r="U37" s="763"/>
      <c r="V37" s="763"/>
      <c r="W37" s="763"/>
      <c r="X37" s="763"/>
      <c r="Y37" s="763"/>
      <c r="Z37" s="763"/>
      <c r="AA37" s="763"/>
      <c r="AB37" s="763"/>
      <c r="AC37" s="763"/>
    </row>
    <row r="38" spans="1:29" ht="15.75" customHeight="1">
      <c r="A38" s="283" t="s">
        <v>311</v>
      </c>
      <c r="B38" s="762" t="s">
        <v>312</v>
      </c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3" t="s">
        <v>313</v>
      </c>
      <c r="U38" s="763"/>
      <c r="V38" s="763"/>
      <c r="W38" s="763"/>
      <c r="X38" s="763"/>
      <c r="Y38" s="763"/>
      <c r="Z38" s="763"/>
      <c r="AA38" s="763"/>
      <c r="AB38" s="763"/>
      <c r="AC38" s="763"/>
    </row>
    <row r="39" spans="1:29" ht="15.75" customHeight="1">
      <c r="A39" s="283" t="s">
        <v>314</v>
      </c>
      <c r="B39" s="762" t="s">
        <v>315</v>
      </c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3" t="s">
        <v>313</v>
      </c>
      <c r="U39" s="763"/>
      <c r="V39" s="763"/>
      <c r="W39" s="763"/>
      <c r="X39" s="763"/>
      <c r="Y39" s="763"/>
      <c r="Z39" s="763"/>
      <c r="AA39" s="763"/>
      <c r="AB39" s="763"/>
      <c r="AC39" s="763"/>
    </row>
    <row r="40" spans="1:29" ht="15.75" customHeight="1">
      <c r="A40" s="283" t="s">
        <v>316</v>
      </c>
      <c r="B40" s="762" t="s">
        <v>317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3" t="s">
        <v>313</v>
      </c>
      <c r="U40" s="763"/>
      <c r="V40" s="763"/>
      <c r="W40" s="763"/>
      <c r="X40" s="763"/>
      <c r="Y40" s="763"/>
      <c r="Z40" s="763"/>
      <c r="AA40" s="763"/>
      <c r="AB40" s="763"/>
      <c r="AC40" s="763"/>
    </row>
    <row r="41" spans="1:29" ht="15.75" customHeight="1">
      <c r="A41" s="283" t="s">
        <v>318</v>
      </c>
      <c r="B41" s="762" t="s">
        <v>319</v>
      </c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3" t="s">
        <v>313</v>
      </c>
      <c r="U41" s="763"/>
      <c r="V41" s="763"/>
      <c r="W41" s="763"/>
      <c r="X41" s="763"/>
      <c r="Y41" s="763"/>
      <c r="Z41" s="763"/>
      <c r="AA41" s="763"/>
      <c r="AB41" s="763"/>
      <c r="AC41" s="763"/>
    </row>
    <row r="42" spans="1:29" ht="15.75" customHeight="1">
      <c r="A42" s="283" t="s">
        <v>320</v>
      </c>
      <c r="B42" s="762" t="s">
        <v>321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3" t="s">
        <v>313</v>
      </c>
      <c r="U42" s="763"/>
      <c r="V42" s="763"/>
      <c r="W42" s="763"/>
      <c r="X42" s="763"/>
      <c r="Y42" s="763"/>
      <c r="Z42" s="763"/>
      <c r="AA42" s="763"/>
      <c r="AB42" s="763"/>
      <c r="AC42" s="763"/>
    </row>
    <row r="43" spans="1:29" ht="15.75" customHeight="1">
      <c r="A43" s="283" t="s">
        <v>322</v>
      </c>
      <c r="B43" s="762" t="s">
        <v>323</v>
      </c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3" t="s">
        <v>313</v>
      </c>
      <c r="U43" s="763"/>
      <c r="V43" s="763"/>
      <c r="W43" s="763"/>
      <c r="X43" s="763"/>
      <c r="Y43" s="763"/>
      <c r="Z43" s="763"/>
      <c r="AA43" s="763"/>
      <c r="AB43" s="763"/>
      <c r="AC43" s="763"/>
    </row>
    <row r="44" spans="1:29" ht="15.75" customHeight="1">
      <c r="A44" s="283" t="s">
        <v>324</v>
      </c>
      <c r="B44" s="762" t="s">
        <v>325</v>
      </c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3" t="s">
        <v>313</v>
      </c>
      <c r="U44" s="763"/>
      <c r="V44" s="763"/>
      <c r="W44" s="763"/>
      <c r="X44" s="763"/>
      <c r="Y44" s="763"/>
      <c r="Z44" s="763"/>
      <c r="AA44" s="763"/>
      <c r="AB44" s="763"/>
      <c r="AC44" s="763"/>
    </row>
    <row r="45" spans="1:29" ht="15.75" customHeight="1">
      <c r="A45" s="283" t="s">
        <v>326</v>
      </c>
      <c r="B45" s="762" t="s">
        <v>327</v>
      </c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3" t="s">
        <v>313</v>
      </c>
      <c r="U45" s="763"/>
      <c r="V45" s="763"/>
      <c r="W45" s="763"/>
      <c r="X45" s="763"/>
      <c r="Y45" s="763"/>
      <c r="Z45" s="763"/>
      <c r="AA45" s="763"/>
      <c r="AB45" s="763"/>
      <c r="AC45" s="763"/>
    </row>
    <row r="46" spans="1:29" ht="15.75" customHeight="1">
      <c r="A46" s="283" t="s">
        <v>328</v>
      </c>
      <c r="B46" s="762" t="s">
        <v>329</v>
      </c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3" t="s">
        <v>313</v>
      </c>
      <c r="U46" s="763"/>
      <c r="V46" s="763"/>
      <c r="W46" s="763"/>
      <c r="X46" s="763"/>
      <c r="Y46" s="763"/>
      <c r="Z46" s="763"/>
      <c r="AA46" s="763"/>
      <c r="AB46" s="763"/>
      <c r="AC46" s="763"/>
    </row>
    <row r="47" spans="1:29" ht="15.75" customHeight="1">
      <c r="A47" s="281" t="s">
        <v>330</v>
      </c>
      <c r="B47" s="279" t="s">
        <v>331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15.75" customHeight="1">
      <c r="A48" s="771" t="s">
        <v>332</v>
      </c>
      <c r="B48" s="771"/>
      <c r="C48" s="771"/>
      <c r="D48" s="771"/>
      <c r="E48" s="771"/>
      <c r="F48" s="771"/>
      <c r="G48" s="771"/>
      <c r="H48" s="771"/>
      <c r="I48" s="771"/>
      <c r="J48" s="771"/>
      <c r="K48" s="771"/>
      <c r="L48" s="759" t="s">
        <v>333</v>
      </c>
      <c r="M48" s="759"/>
      <c r="N48" s="759"/>
      <c r="O48" s="759"/>
      <c r="P48" s="759"/>
      <c r="Q48" s="759"/>
      <c r="R48" s="759"/>
      <c r="S48" s="759"/>
      <c r="T48" s="759"/>
      <c r="U48" s="759" t="s">
        <v>334</v>
      </c>
      <c r="V48" s="759"/>
      <c r="W48" s="759"/>
      <c r="X48" s="759"/>
      <c r="Y48" s="759"/>
      <c r="Z48" s="759"/>
      <c r="AA48" s="759"/>
      <c r="AB48" s="759"/>
      <c r="AC48" s="759"/>
    </row>
    <row r="49" spans="1:29" ht="15.75" customHeight="1">
      <c r="A49" s="282" t="s">
        <v>311</v>
      </c>
      <c r="B49" s="769" t="s">
        <v>335</v>
      </c>
      <c r="C49" s="769"/>
      <c r="D49" s="769"/>
      <c r="E49" s="769"/>
      <c r="F49" s="769"/>
      <c r="G49" s="769"/>
      <c r="H49" s="769"/>
      <c r="I49" s="769"/>
      <c r="J49" s="769"/>
      <c r="K49" s="769"/>
      <c r="L49" s="770" t="s">
        <v>336</v>
      </c>
      <c r="M49" s="770"/>
      <c r="N49" s="770"/>
      <c r="O49" s="770"/>
      <c r="P49" s="770"/>
      <c r="Q49" s="770"/>
      <c r="R49" s="770"/>
      <c r="S49" s="770"/>
      <c r="T49" s="770"/>
      <c r="U49" s="759" t="s">
        <v>337</v>
      </c>
      <c r="V49" s="759"/>
      <c r="W49" s="759"/>
      <c r="X49" s="759"/>
      <c r="Y49" s="759"/>
      <c r="Z49" s="759"/>
      <c r="AA49" s="759"/>
      <c r="AB49" s="759"/>
      <c r="AC49" s="759"/>
    </row>
    <row r="50" spans="1:29" ht="15.75" customHeight="1">
      <c r="A50" s="282" t="s">
        <v>314</v>
      </c>
      <c r="B50" s="769" t="s">
        <v>338</v>
      </c>
      <c r="C50" s="769"/>
      <c r="D50" s="769"/>
      <c r="E50" s="769"/>
      <c r="F50" s="769"/>
      <c r="G50" s="769"/>
      <c r="H50" s="769"/>
      <c r="I50" s="769"/>
      <c r="J50" s="769"/>
      <c r="K50" s="769"/>
      <c r="L50" s="770" t="s">
        <v>339</v>
      </c>
      <c r="M50" s="770"/>
      <c r="N50" s="770"/>
      <c r="O50" s="770"/>
      <c r="P50" s="770"/>
      <c r="Q50" s="770"/>
      <c r="R50" s="770"/>
      <c r="S50" s="770"/>
      <c r="T50" s="770"/>
      <c r="U50" s="759" t="s">
        <v>337</v>
      </c>
      <c r="V50" s="759"/>
      <c r="W50" s="759"/>
      <c r="X50" s="759"/>
      <c r="Y50" s="759"/>
      <c r="Z50" s="759"/>
      <c r="AA50" s="759"/>
      <c r="AB50" s="759"/>
      <c r="AC50" s="759"/>
    </row>
  </sheetData>
  <sheetProtection selectLockedCells="1" selectUnlockedCells="1"/>
  <mergeCells count="63">
    <mergeCell ref="H17:U17"/>
    <mergeCell ref="B42:S42"/>
    <mergeCell ref="B33:AC33"/>
    <mergeCell ref="A37:S37"/>
    <mergeCell ref="T37:AC37"/>
    <mergeCell ref="B40:S40"/>
    <mergeCell ref="T40:AC40"/>
    <mergeCell ref="B41:S41"/>
    <mergeCell ref="T41:AC41"/>
    <mergeCell ref="B38:S38"/>
    <mergeCell ref="T42:AC42"/>
    <mergeCell ref="V21:X21"/>
    <mergeCell ref="T1:AC1"/>
    <mergeCell ref="U4:AC5"/>
    <mergeCell ref="A28:AC28"/>
    <mergeCell ref="H19:U20"/>
    <mergeCell ref="V19:X19"/>
    <mergeCell ref="Y19:AA19"/>
    <mergeCell ref="V20:X20"/>
    <mergeCell ref="Y20:AA20"/>
    <mergeCell ref="B50:K50"/>
    <mergeCell ref="L50:T50"/>
    <mergeCell ref="U50:AC50"/>
    <mergeCell ref="B46:S46"/>
    <mergeCell ref="T46:AC46"/>
    <mergeCell ref="A48:K48"/>
    <mergeCell ref="L48:T48"/>
    <mergeCell ref="U48:AC48"/>
    <mergeCell ref="B49:K49"/>
    <mergeCell ref="L49:T49"/>
    <mergeCell ref="U49:AC49"/>
    <mergeCell ref="B43:S43"/>
    <mergeCell ref="T43:AC43"/>
    <mergeCell ref="B44:S44"/>
    <mergeCell ref="T44:AC44"/>
    <mergeCell ref="B45:S45"/>
    <mergeCell ref="T45:AC45"/>
    <mergeCell ref="B39:S39"/>
    <mergeCell ref="T39:AC39"/>
    <mergeCell ref="Y21:AA21"/>
    <mergeCell ref="V22:X22"/>
    <mergeCell ref="Y22:AA22"/>
    <mergeCell ref="B31:AC31"/>
    <mergeCell ref="T38:AC38"/>
    <mergeCell ref="B35:AC35"/>
    <mergeCell ref="B34:AC34"/>
    <mergeCell ref="A32:AC32"/>
    <mergeCell ref="V17:X17"/>
    <mergeCell ref="Y17:AA17"/>
    <mergeCell ref="V18:X18"/>
    <mergeCell ref="Y18:AA18"/>
    <mergeCell ref="A12:T12"/>
    <mergeCell ref="Y12:AA12"/>
    <mergeCell ref="V13:X14"/>
    <mergeCell ref="Y13:AA14"/>
    <mergeCell ref="H14:U15"/>
    <mergeCell ref="V15:X16"/>
    <mergeCell ref="Y15:AA15"/>
    <mergeCell ref="Y16:AA16"/>
    <mergeCell ref="U3:Z3"/>
    <mergeCell ref="A10:T10"/>
    <mergeCell ref="A11:T11"/>
    <mergeCell ref="Y11:AA11"/>
  </mergeCells>
  <printOptions/>
  <pageMargins left="0.5118055555555555" right="0.37" top="0.62" bottom="0.35" header="0.35" footer="0.18"/>
  <pageSetup horizontalDpi="300" verticalDpi="300" orientation="landscape" paperSize="9" scale="99" r:id="rId1"/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2">
      <selection activeCell="G14" sqref="G14:H14"/>
    </sheetView>
  </sheetViews>
  <sheetFormatPr defaultColWidth="9.140625" defaultRowHeight="15" customHeight="1"/>
  <cols>
    <col min="1" max="1" width="4.140625" style="116" customWidth="1"/>
    <col min="2" max="2" width="27.7109375" style="1" customWidth="1"/>
    <col min="3" max="3" width="10.8515625" style="1" customWidth="1"/>
    <col min="4" max="4" width="14.28125" style="1" customWidth="1"/>
    <col min="5" max="5" width="14.421875" style="1" customWidth="1"/>
    <col min="6" max="6" width="16.140625" style="1" customWidth="1"/>
    <col min="7" max="7" width="18.00390625" style="1" customWidth="1"/>
    <col min="8" max="8" width="15.57421875" style="1" customWidth="1"/>
    <col min="9" max="9" width="37.7109375" style="1" customWidth="1"/>
    <col min="10" max="10" width="15.28125" style="1" customWidth="1"/>
    <col min="11" max="16384" width="9.140625" style="1" customWidth="1"/>
  </cols>
  <sheetData>
    <row r="1" spans="9:12" ht="15" customHeight="1">
      <c r="I1" s="57"/>
      <c r="J1" s="57"/>
      <c r="K1" s="57"/>
      <c r="L1" s="57"/>
    </row>
    <row r="2" spans="1:9" ht="15" customHeight="1">
      <c r="A2" s="845" t="s">
        <v>859</v>
      </c>
      <c r="B2" s="845"/>
      <c r="C2" s="845"/>
      <c r="D2" s="845"/>
      <c r="E2" s="845"/>
      <c r="F2" s="845"/>
      <c r="G2" s="845"/>
      <c r="H2" s="845"/>
      <c r="I2" s="845"/>
    </row>
    <row r="3" spans="1:9" ht="15" customHeight="1">
      <c r="A3" s="56"/>
      <c r="B3" s="56"/>
      <c r="C3" s="56"/>
      <c r="D3" s="5"/>
      <c r="E3" s="5"/>
      <c r="F3" s="5"/>
      <c r="G3" s="5"/>
      <c r="H3" s="5"/>
      <c r="I3" s="57"/>
    </row>
    <row r="4" spans="1:12" ht="30.75" customHeight="1">
      <c r="A4" s="73" t="s">
        <v>576</v>
      </c>
      <c r="C4" s="861" t="s">
        <v>789</v>
      </c>
      <c r="D4" s="861"/>
      <c r="E4" s="861"/>
      <c r="F4" s="861"/>
      <c r="G4" s="861"/>
      <c r="H4" s="861"/>
      <c r="I4" s="861"/>
      <c r="J4" s="57"/>
      <c r="K4" s="57"/>
      <c r="L4" s="57"/>
    </row>
    <row r="5" ht="15" customHeight="1">
      <c r="I5" s="70"/>
    </row>
    <row r="6" spans="1:9" ht="15.75" customHeight="1">
      <c r="A6" s="890">
        <v>1</v>
      </c>
      <c r="B6" s="822" t="s">
        <v>537</v>
      </c>
      <c r="C6" s="822" t="s">
        <v>58</v>
      </c>
      <c r="D6" s="822" t="s">
        <v>59</v>
      </c>
      <c r="E6" s="822" t="s">
        <v>653</v>
      </c>
      <c r="F6" s="893" t="s">
        <v>724</v>
      </c>
      <c r="G6" s="859" t="s">
        <v>93</v>
      </c>
      <c r="H6" s="896"/>
      <c r="I6" s="814" t="s">
        <v>3</v>
      </c>
    </row>
    <row r="7" spans="1:9" ht="24" customHeight="1" hidden="1">
      <c r="A7" s="891"/>
      <c r="B7" s="823"/>
      <c r="C7" s="823"/>
      <c r="D7" s="823"/>
      <c r="E7" s="823"/>
      <c r="F7" s="894"/>
      <c r="G7" s="412" t="s">
        <v>725</v>
      </c>
      <c r="H7" s="434" t="s">
        <v>726</v>
      </c>
      <c r="I7" s="814"/>
    </row>
    <row r="8" spans="1:9" ht="104.25" customHeight="1">
      <c r="A8" s="892"/>
      <c r="B8" s="824"/>
      <c r="C8" s="824"/>
      <c r="D8" s="824"/>
      <c r="E8" s="824"/>
      <c r="F8" s="895"/>
      <c r="G8" s="433" t="s">
        <v>790</v>
      </c>
      <c r="H8" s="435" t="s">
        <v>726</v>
      </c>
      <c r="I8" s="814"/>
    </row>
    <row r="9" spans="1:9" ht="15">
      <c r="A9" s="419">
        <v>1</v>
      </c>
      <c r="B9" s="459">
        <v>2</v>
      </c>
      <c r="C9" s="426" t="s">
        <v>401</v>
      </c>
      <c r="D9" s="427">
        <v>4</v>
      </c>
      <c r="E9" s="427">
        <v>5</v>
      </c>
      <c r="F9" s="427">
        <v>6</v>
      </c>
      <c r="G9" s="427">
        <v>7</v>
      </c>
      <c r="H9" s="437">
        <v>8</v>
      </c>
      <c r="I9" s="438">
        <v>9</v>
      </c>
    </row>
    <row r="10" spans="1:9" ht="54.75" customHeight="1">
      <c r="A10" s="428" t="s">
        <v>394</v>
      </c>
      <c r="B10" s="81" t="s">
        <v>792</v>
      </c>
      <c r="C10" s="429" t="s">
        <v>398</v>
      </c>
      <c r="D10" s="430">
        <v>20250</v>
      </c>
      <c r="E10" s="425">
        <f>64000-23500</f>
        <v>40500</v>
      </c>
      <c r="F10" s="425">
        <f>64000-23500</f>
        <v>40500</v>
      </c>
      <c r="G10" s="425">
        <v>0</v>
      </c>
      <c r="H10" s="436">
        <f>64000-23500</f>
        <v>40500</v>
      </c>
      <c r="I10" s="431" t="s">
        <v>875</v>
      </c>
    </row>
    <row r="11" spans="1:9" ht="54.75" customHeight="1">
      <c r="A11" s="432" t="s">
        <v>398</v>
      </c>
      <c r="B11" s="439" t="s">
        <v>988</v>
      </c>
      <c r="C11" s="394">
        <v>1</v>
      </c>
      <c r="D11" s="440">
        <v>600</v>
      </c>
      <c r="E11" s="441">
        <f>C11*D11</f>
        <v>600</v>
      </c>
      <c r="F11" s="638">
        <v>600</v>
      </c>
      <c r="G11" s="638">
        <v>600</v>
      </c>
      <c r="H11" s="639">
        <v>0</v>
      </c>
      <c r="I11" s="431" t="s">
        <v>1069</v>
      </c>
    </row>
    <row r="12" spans="1:9" ht="82.5" customHeight="1">
      <c r="A12" s="432" t="s">
        <v>401</v>
      </c>
      <c r="B12" s="439" t="s">
        <v>793</v>
      </c>
      <c r="C12" s="394">
        <v>3</v>
      </c>
      <c r="D12" s="440">
        <v>1896.56666</v>
      </c>
      <c r="E12" s="441">
        <f>C12*D12</f>
        <v>5689.699979999999</v>
      </c>
      <c r="F12" s="638">
        <f>6960-1050-220.3</f>
        <v>5689.7</v>
      </c>
      <c r="G12" s="638">
        <f>4050-600+360-1050-220.3</f>
        <v>2539.7</v>
      </c>
      <c r="H12" s="639">
        <f>4000-850</f>
        <v>3150</v>
      </c>
      <c r="I12" s="431" t="s">
        <v>1070</v>
      </c>
    </row>
    <row r="13" spans="1:9" ht="54" customHeight="1">
      <c r="A13" s="432" t="s">
        <v>406</v>
      </c>
      <c r="B13" s="439" t="s">
        <v>998</v>
      </c>
      <c r="C13" s="394">
        <v>1</v>
      </c>
      <c r="D13" s="440">
        <v>850</v>
      </c>
      <c r="E13" s="441">
        <f>C13*D13</f>
        <v>850</v>
      </c>
      <c r="F13" s="638">
        <v>850</v>
      </c>
      <c r="G13" s="638">
        <v>0</v>
      </c>
      <c r="H13" s="639">
        <v>850</v>
      </c>
      <c r="I13" s="431" t="s">
        <v>999</v>
      </c>
    </row>
    <row r="14" spans="1:9" ht="15.75" customHeight="1">
      <c r="A14" s="186"/>
      <c r="B14" s="188" t="s">
        <v>727</v>
      </c>
      <c r="C14" s="187"/>
      <c r="D14" s="189"/>
      <c r="E14" s="442">
        <f>SUM(E10:E13)</f>
        <v>47639.69998</v>
      </c>
      <c r="F14" s="442">
        <f>SUM(F10:F13)</f>
        <v>47639.7</v>
      </c>
      <c r="G14" s="442">
        <f>SUM(G10:G13)</f>
        <v>3139.7</v>
      </c>
      <c r="H14" s="442">
        <f>SUM(H10:H13)</f>
        <v>44500</v>
      </c>
      <c r="I14" s="637"/>
    </row>
  </sheetData>
  <sheetProtection selectLockedCells="1" selectUnlockedCells="1"/>
  <mergeCells count="10">
    <mergeCell ref="A2:I2"/>
    <mergeCell ref="C4:I4"/>
    <mergeCell ref="A6:A8"/>
    <mergeCell ref="B6:B8"/>
    <mergeCell ref="C6:C8"/>
    <mergeCell ref="D6:D8"/>
    <mergeCell ref="E6:E8"/>
    <mergeCell ref="F6:F8"/>
    <mergeCell ref="I6:I8"/>
    <mergeCell ref="G6:H6"/>
  </mergeCells>
  <printOptions/>
  <pageMargins left="0.7480314960629921" right="0.2755905511811024" top="0.7480314960629921" bottom="0.6692913385826772" header="0.5118110236220472" footer="0.5118110236220472"/>
  <pageSetup fitToHeight="3" horizontalDpi="300" verticalDpi="3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13" sqref="D13"/>
    </sheetView>
  </sheetViews>
  <sheetFormatPr defaultColWidth="9.140625" defaultRowHeight="15" customHeight="1"/>
  <cols>
    <col min="1" max="1" width="4.7109375" style="116" customWidth="1"/>
    <col min="2" max="2" width="33.8515625" style="1" customWidth="1"/>
    <col min="3" max="3" width="13.421875" style="1" customWidth="1"/>
    <col min="4" max="4" width="18.421875" style="1" customWidth="1"/>
    <col min="5" max="5" width="19.57421875" style="1" customWidth="1"/>
    <col min="6" max="6" width="19.28125" style="1" customWidth="1"/>
    <col min="7" max="7" width="35.140625" style="1" customWidth="1"/>
    <col min="8" max="8" width="15.28125" style="1" customWidth="1"/>
    <col min="9" max="16384" width="9.140625" style="1" customWidth="1"/>
  </cols>
  <sheetData>
    <row r="1" spans="7:10" ht="15" customHeight="1">
      <c r="G1" s="57"/>
      <c r="H1" s="57"/>
      <c r="I1" s="57"/>
      <c r="J1" s="57"/>
    </row>
    <row r="2" spans="1:7" ht="15" customHeight="1">
      <c r="A2" s="845" t="s">
        <v>858</v>
      </c>
      <c r="B2" s="845"/>
      <c r="C2" s="845"/>
      <c r="D2" s="845"/>
      <c r="E2" s="845"/>
      <c r="F2" s="845"/>
      <c r="G2" s="845"/>
    </row>
    <row r="3" spans="1:7" ht="15" customHeight="1">
      <c r="A3" s="56"/>
      <c r="B3" s="56"/>
      <c r="C3" s="56"/>
      <c r="D3" s="5"/>
      <c r="E3" s="5"/>
      <c r="F3" s="5"/>
      <c r="G3" s="57"/>
    </row>
    <row r="4" spans="1:10" ht="15" customHeight="1">
      <c r="A4" s="73" t="s">
        <v>576</v>
      </c>
      <c r="C4" s="58" t="s">
        <v>788</v>
      </c>
      <c r="D4" s="58"/>
      <c r="E4" s="58"/>
      <c r="F4" s="58"/>
      <c r="G4" s="58"/>
      <c r="H4" s="57"/>
      <c r="I4" s="57"/>
      <c r="J4" s="57"/>
    </row>
    <row r="5" ht="18.75" customHeight="1"/>
    <row r="6" spans="1:7" ht="45" customHeight="1">
      <c r="A6" s="459" t="s">
        <v>496</v>
      </c>
      <c r="B6" s="459" t="s">
        <v>537</v>
      </c>
      <c r="C6" s="459" t="s">
        <v>69</v>
      </c>
      <c r="D6" s="459" t="s">
        <v>70</v>
      </c>
      <c r="E6" s="459" t="s">
        <v>71</v>
      </c>
      <c r="F6" s="459" t="s">
        <v>724</v>
      </c>
      <c r="G6" s="459" t="s">
        <v>3</v>
      </c>
    </row>
    <row r="7" spans="1:7" s="4" customFormat="1" ht="15" customHeight="1">
      <c r="A7" s="419">
        <v>1</v>
      </c>
      <c r="B7" s="415">
        <v>2</v>
      </c>
      <c r="C7" s="415">
        <v>3</v>
      </c>
      <c r="D7" s="415">
        <v>4</v>
      </c>
      <c r="E7" s="415">
        <v>5</v>
      </c>
      <c r="F7" s="415">
        <v>6</v>
      </c>
      <c r="G7" s="415">
        <v>7</v>
      </c>
    </row>
    <row r="8" spans="1:7" ht="39.75" customHeight="1">
      <c r="A8" s="419">
        <v>1</v>
      </c>
      <c r="B8" s="640" t="s">
        <v>944</v>
      </c>
      <c r="C8" s="419">
        <v>2</v>
      </c>
      <c r="D8" s="430">
        <v>995</v>
      </c>
      <c r="E8" s="425">
        <f>D8*C8</f>
        <v>1990</v>
      </c>
      <c r="F8" s="425">
        <v>1990</v>
      </c>
      <c r="G8" s="431" t="s">
        <v>943</v>
      </c>
    </row>
    <row r="9" spans="1:9" ht="41.25" customHeight="1">
      <c r="A9" s="419">
        <v>2</v>
      </c>
      <c r="B9" s="640" t="s">
        <v>945</v>
      </c>
      <c r="C9" s="419">
        <v>2</v>
      </c>
      <c r="D9" s="430">
        <v>890</v>
      </c>
      <c r="E9" s="425">
        <f>C9*D9</f>
        <v>1780</v>
      </c>
      <c r="F9" s="425">
        <v>1780</v>
      </c>
      <c r="G9" s="431" t="s">
        <v>943</v>
      </c>
      <c r="I9" s="117"/>
    </row>
    <row r="10" spans="1:9" ht="38.25" customHeight="1">
      <c r="A10" s="419">
        <v>3</v>
      </c>
      <c r="B10" s="640" t="s">
        <v>946</v>
      </c>
      <c r="C10" s="427">
        <v>2</v>
      </c>
      <c r="D10" s="430">
        <v>1188</v>
      </c>
      <c r="E10" s="425">
        <f>D10*C10</f>
        <v>2376</v>
      </c>
      <c r="F10" s="425">
        <v>2370</v>
      </c>
      <c r="G10" s="431" t="s">
        <v>943</v>
      </c>
      <c r="I10" s="149"/>
    </row>
    <row r="11" spans="1:9" ht="38.25" customHeight="1">
      <c r="A11" s="419">
        <v>4</v>
      </c>
      <c r="B11" s="640" t="s">
        <v>947</v>
      </c>
      <c r="C11" s="427">
        <v>2</v>
      </c>
      <c r="D11" s="430">
        <v>780</v>
      </c>
      <c r="E11" s="425">
        <f>D11*C11</f>
        <v>1560</v>
      </c>
      <c r="F11" s="425">
        <v>1560</v>
      </c>
      <c r="G11" s="431" t="s">
        <v>943</v>
      </c>
      <c r="I11" s="149"/>
    </row>
    <row r="12" spans="1:9" ht="38.25" customHeight="1">
      <c r="A12" s="419">
        <v>5</v>
      </c>
      <c r="B12" s="640" t="s">
        <v>1074</v>
      </c>
      <c r="C12" s="427">
        <v>5</v>
      </c>
      <c r="D12" s="430">
        <v>2340</v>
      </c>
      <c r="E12" s="425">
        <f>D12*C12</f>
        <v>11700</v>
      </c>
      <c r="F12" s="425">
        <v>11700</v>
      </c>
      <c r="G12" s="431" t="s">
        <v>1075</v>
      </c>
      <c r="I12" s="149"/>
    </row>
    <row r="13" spans="1:7" ht="15">
      <c r="A13" s="415"/>
      <c r="B13" s="642" t="s">
        <v>533</v>
      </c>
      <c r="C13" s="419" t="s">
        <v>546</v>
      </c>
      <c r="D13" s="419" t="s">
        <v>546</v>
      </c>
      <c r="E13" s="643">
        <f>SUM(E8:E12)</f>
        <v>19406</v>
      </c>
      <c r="F13" s="643">
        <f>SUM(F8:F12)</f>
        <v>19400</v>
      </c>
      <c r="G13" s="416"/>
    </row>
    <row r="14" spans="5:6" ht="15" customHeight="1">
      <c r="E14" s="117"/>
      <c r="F14" s="117"/>
    </row>
  </sheetData>
  <sheetProtection selectLockedCells="1" selectUnlockedCells="1"/>
  <mergeCells count="1">
    <mergeCell ref="A2:G2"/>
  </mergeCells>
  <printOptions/>
  <pageMargins left="0.5511811023622047" right="0.2755905511811024" top="0.7480314960629921" bottom="0.6692913385826772" header="0.5118110236220472" footer="0.5118110236220472"/>
  <pageSetup fitToHeight="3" fitToWidth="1"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4">
      <selection activeCell="F19" sqref="F19"/>
    </sheetView>
  </sheetViews>
  <sheetFormatPr defaultColWidth="9.140625" defaultRowHeight="15" customHeight="1"/>
  <cols>
    <col min="1" max="1" width="4.7109375" style="116" customWidth="1"/>
    <col min="2" max="2" width="34.7109375" style="1" customWidth="1"/>
    <col min="3" max="3" width="13.421875" style="1" customWidth="1"/>
    <col min="4" max="4" width="18.421875" style="1" customWidth="1"/>
    <col min="5" max="6" width="18.140625" style="1" customWidth="1"/>
    <col min="7" max="7" width="40.421875" style="1" customWidth="1"/>
    <col min="8" max="8" width="15.28125" style="1" customWidth="1"/>
    <col min="9" max="16384" width="9.140625" style="1" customWidth="1"/>
  </cols>
  <sheetData>
    <row r="1" spans="7:10" ht="15" customHeight="1">
      <c r="G1" s="57"/>
      <c r="H1" s="57"/>
      <c r="I1" s="57"/>
      <c r="J1" s="57"/>
    </row>
    <row r="2" spans="1:7" ht="15" customHeight="1">
      <c r="A2" s="845" t="s">
        <v>858</v>
      </c>
      <c r="B2" s="845"/>
      <c r="C2" s="845"/>
      <c r="D2" s="845"/>
      <c r="E2" s="845"/>
      <c r="F2" s="845"/>
      <c r="G2" s="845"/>
    </row>
    <row r="3" spans="1:7" ht="15" customHeight="1">
      <c r="A3" s="56"/>
      <c r="B3" s="56"/>
      <c r="C3" s="56"/>
      <c r="D3" s="5"/>
      <c r="E3" s="5"/>
      <c r="F3" s="5"/>
      <c r="G3" s="57"/>
    </row>
    <row r="4" spans="1:10" ht="15" customHeight="1">
      <c r="A4" s="73" t="s">
        <v>576</v>
      </c>
      <c r="C4" s="58" t="s">
        <v>788</v>
      </c>
      <c r="D4" s="58"/>
      <c r="E4" s="58"/>
      <c r="F4" s="58"/>
      <c r="G4" s="58"/>
      <c r="H4" s="57"/>
      <c r="I4" s="57"/>
      <c r="J4" s="57"/>
    </row>
    <row r="5" ht="18.75" customHeight="1"/>
    <row r="6" spans="1:7" ht="45" customHeight="1">
      <c r="A6" s="459" t="s">
        <v>496</v>
      </c>
      <c r="B6" s="459" t="s">
        <v>537</v>
      </c>
      <c r="C6" s="459" t="s">
        <v>69</v>
      </c>
      <c r="D6" s="459" t="s">
        <v>70</v>
      </c>
      <c r="E6" s="459" t="s">
        <v>71</v>
      </c>
      <c r="F6" s="459" t="s">
        <v>724</v>
      </c>
      <c r="G6" s="459" t="s">
        <v>3</v>
      </c>
    </row>
    <row r="7" spans="1:7" s="4" customFormat="1" ht="15" customHeight="1">
      <c r="A7" s="419">
        <v>1</v>
      </c>
      <c r="B7" s="415">
        <v>2</v>
      </c>
      <c r="C7" s="415">
        <v>3</v>
      </c>
      <c r="D7" s="415">
        <v>4</v>
      </c>
      <c r="E7" s="415">
        <v>5</v>
      </c>
      <c r="F7" s="415">
        <v>6</v>
      </c>
      <c r="G7" s="415">
        <v>7</v>
      </c>
    </row>
    <row r="8" spans="1:7" ht="30.75" customHeight="1">
      <c r="A8" s="419">
        <v>1</v>
      </c>
      <c r="B8" s="640" t="s">
        <v>942</v>
      </c>
      <c r="C8" s="427">
        <v>836.635514</v>
      </c>
      <c r="D8" s="430">
        <v>12.84</v>
      </c>
      <c r="E8" s="425">
        <f>D8*C8</f>
        <v>10742.399999759999</v>
      </c>
      <c r="F8" s="425">
        <f>16000-4300+3000-2885.5+128.9-3201+2000</f>
        <v>10742.4</v>
      </c>
      <c r="G8" s="431" t="s">
        <v>956</v>
      </c>
    </row>
    <row r="9" spans="1:7" ht="39.75" customHeight="1">
      <c r="A9" s="419">
        <v>2</v>
      </c>
      <c r="B9" s="640" t="s">
        <v>957</v>
      </c>
      <c r="C9" s="419">
        <v>604</v>
      </c>
      <c r="D9" s="430">
        <v>12.843708</v>
      </c>
      <c r="E9" s="425">
        <f>C9*D9</f>
        <v>7757.5996319999995</v>
      </c>
      <c r="F9" s="425">
        <f>2885.5+1671.1+3201</f>
        <v>7757.6</v>
      </c>
      <c r="G9" s="431" t="s">
        <v>990</v>
      </c>
    </row>
    <row r="10" spans="1:9" ht="102" customHeight="1">
      <c r="A10" s="419">
        <v>3</v>
      </c>
      <c r="B10" s="640" t="s">
        <v>1066</v>
      </c>
      <c r="C10" s="427">
        <v>647.881312</v>
      </c>
      <c r="D10" s="430">
        <v>72.003929</v>
      </c>
      <c r="E10" s="425">
        <f>C10*D10</f>
        <v>46649.99998967485</v>
      </c>
      <c r="F10" s="425">
        <f>17200-5250+5500+19200+10000</f>
        <v>46650</v>
      </c>
      <c r="G10" s="431" t="s">
        <v>1087</v>
      </c>
      <c r="I10" s="117"/>
    </row>
    <row r="11" spans="1:9" ht="26.25">
      <c r="A11" s="419">
        <v>4</v>
      </c>
      <c r="B11" s="640" t="s">
        <v>72</v>
      </c>
      <c r="C11" s="427">
        <v>6.187443</v>
      </c>
      <c r="D11" s="430">
        <v>13188</v>
      </c>
      <c r="E11" s="425">
        <f>D11*C11</f>
        <v>81599.998284</v>
      </c>
      <c r="F11" s="425">
        <f>156800-24200-1800-19200-30000</f>
        <v>81600</v>
      </c>
      <c r="G11" s="431" t="s">
        <v>926</v>
      </c>
      <c r="I11" s="149"/>
    </row>
    <row r="12" spans="1:9" ht="25.5" customHeight="1">
      <c r="A12" s="419">
        <v>5</v>
      </c>
      <c r="B12" s="640" t="s">
        <v>808</v>
      </c>
      <c r="C12" s="427">
        <v>104</v>
      </c>
      <c r="D12" s="430">
        <v>1159.03846</v>
      </c>
      <c r="E12" s="425">
        <f>D12*C12</f>
        <v>120539.99984</v>
      </c>
      <c r="F12" s="425">
        <f>170000-14400-7700-760-13000-9100-4500</f>
        <v>120540</v>
      </c>
      <c r="G12" s="641" t="s">
        <v>807</v>
      </c>
      <c r="I12" s="149"/>
    </row>
    <row r="13" spans="1:9" ht="25.5" customHeight="1">
      <c r="A13" s="419">
        <v>6</v>
      </c>
      <c r="B13" s="640" t="s">
        <v>1056</v>
      </c>
      <c r="C13" s="427">
        <v>127</v>
      </c>
      <c r="D13" s="430">
        <v>102.3622047</v>
      </c>
      <c r="E13" s="425">
        <f>D13*C13</f>
        <v>12999.9999969</v>
      </c>
      <c r="F13" s="425">
        <v>13000</v>
      </c>
      <c r="G13" s="641" t="s">
        <v>1057</v>
      </c>
      <c r="I13" s="149"/>
    </row>
    <row r="14" spans="1:9" ht="26.25">
      <c r="A14" s="419">
        <v>7</v>
      </c>
      <c r="B14" s="640" t="s">
        <v>1058</v>
      </c>
      <c r="C14" s="427">
        <v>1</v>
      </c>
      <c r="D14" s="430">
        <v>9100</v>
      </c>
      <c r="E14" s="425">
        <f>D14*C14</f>
        <v>9100</v>
      </c>
      <c r="F14" s="425">
        <v>9100</v>
      </c>
      <c r="G14" s="641" t="s">
        <v>1059</v>
      </c>
      <c r="I14" s="149"/>
    </row>
    <row r="15" spans="1:9" ht="26.25">
      <c r="A15" s="419">
        <v>8</v>
      </c>
      <c r="B15" s="640" t="s">
        <v>954</v>
      </c>
      <c r="C15" s="427">
        <v>1</v>
      </c>
      <c r="D15" s="430">
        <v>760</v>
      </c>
      <c r="E15" s="425">
        <v>760</v>
      </c>
      <c r="F15" s="425">
        <v>760</v>
      </c>
      <c r="G15" s="641" t="s">
        <v>955</v>
      </c>
      <c r="I15" s="149"/>
    </row>
    <row r="16" spans="1:7" ht="52.5" customHeight="1">
      <c r="A16" s="419">
        <v>9</v>
      </c>
      <c r="B16" s="640" t="s">
        <v>73</v>
      </c>
      <c r="C16" s="419">
        <v>359</v>
      </c>
      <c r="D16" s="430">
        <v>15.3</v>
      </c>
      <c r="E16" s="425">
        <f>C16*D16</f>
        <v>5492.7</v>
      </c>
      <c r="F16" s="425">
        <f>11000-5500</f>
        <v>5500</v>
      </c>
      <c r="G16" s="431" t="s">
        <v>1086</v>
      </c>
    </row>
    <row r="17" spans="1:7" ht="68.25" customHeight="1">
      <c r="A17" s="419">
        <v>10</v>
      </c>
      <c r="B17" s="640" t="s">
        <v>920</v>
      </c>
      <c r="C17" s="427">
        <v>71.141173</v>
      </c>
      <c r="D17" s="430">
        <v>271.51</v>
      </c>
      <c r="E17" s="425">
        <f>C17*D17</f>
        <v>19315.539881229997</v>
      </c>
      <c r="F17" s="425">
        <f>29000+4300+2250-11238.72-7495.74+2500</f>
        <v>19315.54</v>
      </c>
      <c r="G17" s="431" t="s">
        <v>952</v>
      </c>
    </row>
    <row r="18" spans="1:7" ht="66.75" customHeight="1">
      <c r="A18" s="419">
        <v>11</v>
      </c>
      <c r="B18" s="640" t="s">
        <v>1015</v>
      </c>
      <c r="C18" s="419">
        <f>37+32</f>
        <v>69</v>
      </c>
      <c r="D18" s="430">
        <f>271.51391</f>
        <v>271.51391</v>
      </c>
      <c r="E18" s="425">
        <f>C18*D18</f>
        <v>18734.45979</v>
      </c>
      <c r="F18" s="425">
        <f>11238.72+7495.74</f>
        <v>18734.46</v>
      </c>
      <c r="G18" s="388" t="s">
        <v>1014</v>
      </c>
    </row>
    <row r="19" spans="1:7" ht="52.5" customHeight="1">
      <c r="A19" s="419">
        <v>12</v>
      </c>
      <c r="B19" s="640" t="s">
        <v>901</v>
      </c>
      <c r="C19" s="427">
        <v>236.08588</v>
      </c>
      <c r="D19" s="430">
        <v>187.22</v>
      </c>
      <c r="E19" s="425">
        <f>C19*D19</f>
        <v>44199.9984536</v>
      </c>
      <c r="F19" s="425">
        <f>24200+20000</f>
        <v>44200</v>
      </c>
      <c r="G19" s="431" t="s">
        <v>1065</v>
      </c>
    </row>
    <row r="20" spans="1:7" ht="15">
      <c r="A20" s="415"/>
      <c r="B20" s="642" t="s">
        <v>533</v>
      </c>
      <c r="C20" s="419" t="s">
        <v>546</v>
      </c>
      <c r="D20" s="419" t="s">
        <v>546</v>
      </c>
      <c r="E20" s="643">
        <f>SUM(E8:E19)</f>
        <v>377892.6958671648</v>
      </c>
      <c r="F20" s="643">
        <f>SUM(F8:F19)</f>
        <v>377900</v>
      </c>
      <c r="G20" s="416"/>
    </row>
    <row r="21" spans="1:7" ht="50.25" customHeight="1">
      <c r="A21" s="419">
        <v>1</v>
      </c>
      <c r="B21" s="422" t="s">
        <v>225</v>
      </c>
      <c r="C21" s="644"/>
      <c r="D21" s="645"/>
      <c r="E21" s="646">
        <f>SUM(E23:E43)</f>
        <v>66979.86</v>
      </c>
      <c r="F21" s="646"/>
      <c r="G21" s="647" t="s">
        <v>234</v>
      </c>
    </row>
    <row r="22" spans="1:7" ht="18.75" customHeight="1">
      <c r="A22" s="419"/>
      <c r="B22" s="422" t="s">
        <v>991</v>
      </c>
      <c r="C22" s="644"/>
      <c r="D22" s="645"/>
      <c r="E22" s="646"/>
      <c r="F22" s="646"/>
      <c r="G22" s="647"/>
    </row>
    <row r="23" spans="1:7" ht="26.25">
      <c r="A23" s="419" t="s">
        <v>306</v>
      </c>
      <c r="B23" s="81" t="s">
        <v>226</v>
      </c>
      <c r="C23" s="419">
        <v>12</v>
      </c>
      <c r="D23" s="430">
        <v>595</v>
      </c>
      <c r="E23" s="425">
        <v>6200</v>
      </c>
      <c r="F23" s="425"/>
      <c r="G23" s="431" t="s">
        <v>872</v>
      </c>
    </row>
    <row r="24" spans="1:7" ht="26.25">
      <c r="A24" s="419" t="s">
        <v>330</v>
      </c>
      <c r="B24" s="81" t="s">
        <v>616</v>
      </c>
      <c r="C24" s="419">
        <v>0.504</v>
      </c>
      <c r="D24" s="430">
        <v>270</v>
      </c>
      <c r="E24" s="425">
        <v>16601.42</v>
      </c>
      <c r="F24" s="425"/>
      <c r="G24" s="431" t="s">
        <v>872</v>
      </c>
    </row>
    <row r="25" spans="1:7" ht="26.25">
      <c r="A25" s="419" t="s">
        <v>560</v>
      </c>
      <c r="B25" s="81" t="s">
        <v>835</v>
      </c>
      <c r="C25" s="419">
        <v>4300</v>
      </c>
      <c r="D25" s="430">
        <v>0.69</v>
      </c>
      <c r="E25" s="425">
        <v>2995</v>
      </c>
      <c r="F25" s="425"/>
      <c r="G25" s="431" t="s">
        <v>872</v>
      </c>
    </row>
    <row r="26" spans="1:7" ht="26.25">
      <c r="A26" s="419" t="s">
        <v>235</v>
      </c>
      <c r="B26" s="81" t="s">
        <v>227</v>
      </c>
      <c r="C26" s="419">
        <v>2</v>
      </c>
      <c r="D26" s="430">
        <v>2535.82</v>
      </c>
      <c r="E26" s="425">
        <v>5071.64</v>
      </c>
      <c r="F26" s="425"/>
      <c r="G26" s="431" t="s">
        <v>870</v>
      </c>
    </row>
    <row r="27" spans="1:7" ht="26.25">
      <c r="A27" s="419" t="s">
        <v>236</v>
      </c>
      <c r="B27" s="81" t="s">
        <v>619</v>
      </c>
      <c r="C27" s="419">
        <v>10</v>
      </c>
      <c r="D27" s="430">
        <v>139.24</v>
      </c>
      <c r="E27" s="425">
        <v>1392.4</v>
      </c>
      <c r="F27" s="425"/>
      <c r="G27" s="431" t="s">
        <v>872</v>
      </c>
    </row>
    <row r="28" spans="1:7" ht="26.25">
      <c r="A28" s="419" t="s">
        <v>237</v>
      </c>
      <c r="B28" s="81" t="s">
        <v>620</v>
      </c>
      <c r="C28" s="419">
        <v>10</v>
      </c>
      <c r="D28" s="430">
        <v>195.88</v>
      </c>
      <c r="E28" s="425">
        <v>1958.8</v>
      </c>
      <c r="F28" s="425"/>
      <c r="G28" s="431" t="s">
        <v>872</v>
      </c>
    </row>
    <row r="29" spans="1:7" ht="26.25">
      <c r="A29" s="419" t="s">
        <v>238</v>
      </c>
      <c r="B29" s="81" t="s">
        <v>621</v>
      </c>
      <c r="C29" s="419">
        <v>10</v>
      </c>
      <c r="D29" s="430">
        <v>276.12</v>
      </c>
      <c r="E29" s="425">
        <v>2761.2</v>
      </c>
      <c r="F29" s="425"/>
      <c r="G29" s="431" t="s">
        <v>872</v>
      </c>
    </row>
    <row r="30" spans="1:7" ht="26.25">
      <c r="A30" s="648" t="s">
        <v>239</v>
      </c>
      <c r="B30" s="81" t="s">
        <v>622</v>
      </c>
      <c r="C30" s="419">
        <v>10</v>
      </c>
      <c r="D30" s="430">
        <v>133.34</v>
      </c>
      <c r="E30" s="425">
        <v>1333.4</v>
      </c>
      <c r="F30" s="425"/>
      <c r="G30" s="431" t="s">
        <v>872</v>
      </c>
    </row>
    <row r="31" spans="1:7" ht="26.25">
      <c r="A31" s="648" t="s">
        <v>240</v>
      </c>
      <c r="B31" s="649" t="s">
        <v>623</v>
      </c>
      <c r="C31" s="419">
        <v>10</v>
      </c>
      <c r="D31" s="430">
        <v>725.7</v>
      </c>
      <c r="E31" s="425">
        <v>7257</v>
      </c>
      <c r="F31" s="425"/>
      <c r="G31" s="431" t="s">
        <v>872</v>
      </c>
    </row>
    <row r="32" spans="1:7" ht="26.25">
      <c r="A32" s="648" t="s">
        <v>241</v>
      </c>
      <c r="B32" s="649" t="s">
        <v>624</v>
      </c>
      <c r="C32" s="419">
        <v>50</v>
      </c>
      <c r="D32" s="430">
        <v>116.82</v>
      </c>
      <c r="E32" s="425">
        <v>5841</v>
      </c>
      <c r="F32" s="425"/>
      <c r="G32" s="431" t="s">
        <v>872</v>
      </c>
    </row>
    <row r="33" spans="1:7" ht="26.25">
      <c r="A33" s="648" t="s">
        <v>242</v>
      </c>
      <c r="B33" s="649" t="s">
        <v>630</v>
      </c>
      <c r="C33" s="419">
        <v>950</v>
      </c>
      <c r="D33" s="430">
        <v>0.46</v>
      </c>
      <c r="E33" s="425">
        <v>441.5</v>
      </c>
      <c r="F33" s="425"/>
      <c r="G33" s="431" t="s">
        <v>872</v>
      </c>
    </row>
    <row r="34" spans="1:7" ht="26.25">
      <c r="A34" s="648" t="s">
        <v>243</v>
      </c>
      <c r="B34" s="649" t="s">
        <v>631</v>
      </c>
      <c r="C34" s="419">
        <v>19.5</v>
      </c>
      <c r="D34" s="430">
        <v>95</v>
      </c>
      <c r="E34" s="425">
        <v>1852.5</v>
      </c>
      <c r="F34" s="425"/>
      <c r="G34" s="431" t="s">
        <v>872</v>
      </c>
    </row>
    <row r="35" spans="1:7" ht="26.25">
      <c r="A35" s="648" t="s">
        <v>244</v>
      </c>
      <c r="B35" s="649" t="s">
        <v>632</v>
      </c>
      <c r="C35" s="419">
        <v>3</v>
      </c>
      <c r="D35" s="430">
        <v>550</v>
      </c>
      <c r="E35" s="425">
        <v>1650</v>
      </c>
      <c r="F35" s="425"/>
      <c r="G35" s="431" t="s">
        <v>872</v>
      </c>
    </row>
    <row r="36" spans="1:7" ht="26.25">
      <c r="A36" s="648" t="s">
        <v>845</v>
      </c>
      <c r="B36" s="649" t="s">
        <v>633</v>
      </c>
      <c r="C36" s="419">
        <v>2</v>
      </c>
      <c r="D36" s="430">
        <v>95</v>
      </c>
      <c r="E36" s="425">
        <v>190</v>
      </c>
      <c r="F36" s="425"/>
      <c r="G36" s="431" t="s">
        <v>872</v>
      </c>
    </row>
    <row r="37" spans="1:7" ht="26.25">
      <c r="A37" s="648" t="s">
        <v>846</v>
      </c>
      <c r="B37" s="649" t="s">
        <v>634</v>
      </c>
      <c r="C37" s="419">
        <v>2</v>
      </c>
      <c r="D37" s="430">
        <v>56</v>
      </c>
      <c r="E37" s="425">
        <v>112</v>
      </c>
      <c r="F37" s="425"/>
      <c r="G37" s="431" t="s">
        <v>872</v>
      </c>
    </row>
    <row r="38" spans="1:7" ht="26.25">
      <c r="A38" s="648" t="s">
        <v>847</v>
      </c>
      <c r="B38" s="649" t="s">
        <v>635</v>
      </c>
      <c r="C38" s="419">
        <v>1</v>
      </c>
      <c r="D38" s="430">
        <v>690</v>
      </c>
      <c r="E38" s="425">
        <v>690</v>
      </c>
      <c r="F38" s="425"/>
      <c r="G38" s="431" t="s">
        <v>872</v>
      </c>
    </row>
    <row r="39" spans="1:7" ht="26.25">
      <c r="A39" s="648" t="s">
        <v>848</v>
      </c>
      <c r="B39" s="649" t="s">
        <v>636</v>
      </c>
      <c r="C39" s="419">
        <v>2</v>
      </c>
      <c r="D39" s="430">
        <v>34</v>
      </c>
      <c r="E39" s="425">
        <v>68</v>
      </c>
      <c r="F39" s="425"/>
      <c r="G39" s="431" t="s">
        <v>872</v>
      </c>
    </row>
    <row r="40" spans="1:7" ht="26.25">
      <c r="A40" s="648" t="s">
        <v>849</v>
      </c>
      <c r="B40" s="649" t="s">
        <v>631</v>
      </c>
      <c r="C40" s="419">
        <v>1</v>
      </c>
      <c r="D40" s="430">
        <v>679</v>
      </c>
      <c r="E40" s="425">
        <v>679</v>
      </c>
      <c r="F40" s="425"/>
      <c r="G40" s="431" t="s">
        <v>872</v>
      </c>
    </row>
    <row r="41" spans="1:7" ht="26.25">
      <c r="A41" s="648" t="s">
        <v>850</v>
      </c>
      <c r="B41" s="649" t="s">
        <v>638</v>
      </c>
      <c r="C41" s="650">
        <v>10</v>
      </c>
      <c r="D41" s="430">
        <v>17</v>
      </c>
      <c r="E41" s="425">
        <v>170</v>
      </c>
      <c r="F41" s="425"/>
      <c r="G41" s="431" t="s">
        <v>872</v>
      </c>
    </row>
    <row r="42" spans="1:7" ht="26.25">
      <c r="A42" s="648" t="s">
        <v>851</v>
      </c>
      <c r="B42" s="649" t="s">
        <v>637</v>
      </c>
      <c r="C42" s="650">
        <v>2</v>
      </c>
      <c r="D42" s="430">
        <v>74</v>
      </c>
      <c r="E42" s="425">
        <v>148</v>
      </c>
      <c r="F42" s="425"/>
      <c r="G42" s="431" t="s">
        <v>872</v>
      </c>
    </row>
    <row r="43" spans="1:7" ht="26.25">
      <c r="A43" s="648" t="s">
        <v>852</v>
      </c>
      <c r="B43" s="649" t="s">
        <v>625</v>
      </c>
      <c r="C43" s="650">
        <v>33.1038</v>
      </c>
      <c r="D43" s="430">
        <v>289</v>
      </c>
      <c r="E43" s="425">
        <f>3326-630+6871</f>
        <v>9567</v>
      </c>
      <c r="F43" s="425"/>
      <c r="G43" s="431" t="s">
        <v>872</v>
      </c>
    </row>
    <row r="44" spans="1:7" ht="15">
      <c r="A44" s="648"/>
      <c r="B44" s="651" t="s">
        <v>992</v>
      </c>
      <c r="C44" s="650"/>
      <c r="D44" s="430"/>
      <c r="E44" s="646">
        <f>SUM(E45:E46)</f>
        <v>674</v>
      </c>
      <c r="F44" s="425"/>
      <c r="G44" s="431"/>
    </row>
    <row r="45" spans="1:7" ht="26.25">
      <c r="A45" s="648" t="s">
        <v>853</v>
      </c>
      <c r="B45" s="81" t="s">
        <v>836</v>
      </c>
      <c r="C45" s="723">
        <v>2.81</v>
      </c>
      <c r="D45" s="430">
        <v>240</v>
      </c>
      <c r="E45" s="425">
        <f>2172+129-1627</f>
        <v>674</v>
      </c>
      <c r="F45" s="425"/>
      <c r="G45" s="431" t="s">
        <v>874</v>
      </c>
    </row>
    <row r="46" spans="1:7" ht="26.25" hidden="1">
      <c r="A46" s="648" t="s">
        <v>993</v>
      </c>
      <c r="B46" s="81" t="s">
        <v>617</v>
      </c>
      <c r="C46" s="419">
        <v>30</v>
      </c>
      <c r="D46" s="430">
        <v>33.33</v>
      </c>
      <c r="E46" s="425">
        <v>0</v>
      </c>
      <c r="F46" s="425"/>
      <c r="G46" s="641" t="s">
        <v>876</v>
      </c>
    </row>
    <row r="47" spans="1:7" ht="15">
      <c r="A47" s="648">
        <v>2</v>
      </c>
      <c r="B47" s="651" t="s">
        <v>854</v>
      </c>
      <c r="C47" s="652"/>
      <c r="D47" s="645"/>
      <c r="E47" s="646">
        <f>SUM(E48:E51)</f>
        <v>11241.09</v>
      </c>
      <c r="F47" s="646"/>
      <c r="G47" s="653"/>
    </row>
    <row r="48" spans="1:7" ht="29.25" customHeight="1">
      <c r="A48" s="648" t="s">
        <v>563</v>
      </c>
      <c r="B48" s="649" t="s">
        <v>626</v>
      </c>
      <c r="C48" s="654" t="s">
        <v>1088</v>
      </c>
      <c r="D48" s="430">
        <v>235.24</v>
      </c>
      <c r="E48" s="425">
        <f>4940.04-540</f>
        <v>4400.04</v>
      </c>
      <c r="F48" s="425"/>
      <c r="G48" s="431" t="s">
        <v>874</v>
      </c>
    </row>
    <row r="49" spans="1:7" ht="30" customHeight="1">
      <c r="A49" s="648" t="s">
        <v>564</v>
      </c>
      <c r="B49" s="649" t="s">
        <v>626</v>
      </c>
      <c r="C49" s="654" t="s">
        <v>628</v>
      </c>
      <c r="D49" s="430">
        <v>165</v>
      </c>
      <c r="E49" s="425">
        <v>1245.75</v>
      </c>
      <c r="F49" s="425"/>
      <c r="G49" s="431" t="s">
        <v>874</v>
      </c>
    </row>
    <row r="50" spans="1:7" ht="24" customHeight="1">
      <c r="A50" s="648" t="s">
        <v>566</v>
      </c>
      <c r="B50" s="649" t="s">
        <v>629</v>
      </c>
      <c r="C50" s="650">
        <v>18.72</v>
      </c>
      <c r="D50" s="430">
        <v>187.22</v>
      </c>
      <c r="E50" s="425">
        <f>4043.95-539</f>
        <v>3504.95</v>
      </c>
      <c r="F50" s="425"/>
      <c r="G50" s="431" t="s">
        <v>874</v>
      </c>
    </row>
    <row r="51" spans="1:7" ht="29.25" customHeight="1">
      <c r="A51" s="648" t="s">
        <v>568</v>
      </c>
      <c r="B51" s="649" t="s">
        <v>629</v>
      </c>
      <c r="C51" s="654" t="s">
        <v>627</v>
      </c>
      <c r="D51" s="430">
        <v>171.06</v>
      </c>
      <c r="E51" s="425">
        <v>2090.35</v>
      </c>
      <c r="F51" s="425"/>
      <c r="G51" s="431" t="s">
        <v>874</v>
      </c>
    </row>
    <row r="52" spans="1:7" ht="38.25" customHeight="1">
      <c r="A52" s="419"/>
      <c r="B52" s="655" t="s">
        <v>969</v>
      </c>
      <c r="C52" s="419"/>
      <c r="D52" s="430"/>
      <c r="E52" s="646">
        <f>E47+E21+E44</f>
        <v>78894.95</v>
      </c>
      <c r="F52" s="646"/>
      <c r="G52" s="431"/>
    </row>
    <row r="53" spans="5:6" ht="15" customHeight="1">
      <c r="E53" s="117"/>
      <c r="F53" s="117"/>
    </row>
  </sheetData>
  <sheetProtection selectLockedCells="1" selectUnlockedCells="1"/>
  <mergeCells count="1">
    <mergeCell ref="A2:G2"/>
  </mergeCells>
  <printOptions/>
  <pageMargins left="0.5511811023622047" right="0.2755905511811024" top="0.7480314960629921" bottom="0.6692913385826772" header="0.5118110236220472" footer="0.5118110236220472"/>
  <pageSetup fitToHeight="3" fitToWidth="1"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23" sqref="F23"/>
    </sheetView>
  </sheetViews>
  <sheetFormatPr defaultColWidth="9.140625" defaultRowHeight="15" customHeight="1"/>
  <cols>
    <col min="1" max="1" width="4.140625" style="116" customWidth="1"/>
    <col min="2" max="2" width="33.8515625" style="1" customWidth="1"/>
    <col min="3" max="3" width="13.421875" style="1" customWidth="1"/>
    <col min="4" max="4" width="18.421875" style="1" customWidth="1"/>
    <col min="5" max="5" width="17.28125" style="1" customWidth="1"/>
    <col min="6" max="6" width="24.421875" style="1" customWidth="1"/>
    <col min="7" max="7" width="37.7109375" style="1" customWidth="1"/>
    <col min="8" max="8" width="15.28125" style="1" customWidth="1"/>
    <col min="9" max="16384" width="9.140625" style="1" customWidth="1"/>
  </cols>
  <sheetData>
    <row r="1" spans="7:10" ht="15" customHeight="1">
      <c r="G1" s="57"/>
      <c r="H1" s="57"/>
      <c r="I1" s="57"/>
      <c r="J1" s="57"/>
    </row>
    <row r="2" spans="1:7" ht="15" customHeight="1">
      <c r="A2" s="845" t="s">
        <v>857</v>
      </c>
      <c r="B2" s="845"/>
      <c r="C2" s="845"/>
      <c r="D2" s="845"/>
      <c r="E2" s="845"/>
      <c r="F2" s="845"/>
      <c r="G2" s="845"/>
    </row>
    <row r="3" spans="1:7" ht="15" customHeight="1">
      <c r="A3" s="56"/>
      <c r="B3" s="56"/>
      <c r="C3" s="56"/>
      <c r="D3" s="5"/>
      <c r="E3" s="5"/>
      <c r="F3" s="5"/>
      <c r="G3" s="57"/>
    </row>
    <row r="4" spans="1:10" ht="15" customHeight="1">
      <c r="A4" s="73" t="s">
        <v>576</v>
      </c>
      <c r="C4" s="58" t="s">
        <v>531</v>
      </c>
      <c r="D4" s="58"/>
      <c r="E4" s="58"/>
      <c r="F4" s="58"/>
      <c r="G4" s="58"/>
      <c r="H4" s="57"/>
      <c r="I4" s="57"/>
      <c r="J4" s="57"/>
    </row>
    <row r="6" spans="1:7" ht="77.25" customHeight="1">
      <c r="A6" s="64">
        <v>1</v>
      </c>
      <c r="B6" s="190" t="s">
        <v>537</v>
      </c>
      <c r="C6" s="190" t="s">
        <v>31</v>
      </c>
      <c r="D6" s="190" t="s">
        <v>59</v>
      </c>
      <c r="E6" s="190" t="s">
        <v>653</v>
      </c>
      <c r="F6" s="190" t="s">
        <v>724</v>
      </c>
      <c r="G6" s="190" t="s">
        <v>3</v>
      </c>
    </row>
    <row r="7" spans="1:7" ht="24" customHeight="1" hidden="1">
      <c r="A7" s="64"/>
      <c r="B7" s="3"/>
      <c r="C7" s="118"/>
      <c r="D7" s="66"/>
      <c r="E7" s="88"/>
      <c r="F7" s="88"/>
      <c r="G7" s="98"/>
    </row>
    <row r="8" spans="1:7" ht="30">
      <c r="A8" s="64">
        <v>1</v>
      </c>
      <c r="B8" s="3" t="s">
        <v>786</v>
      </c>
      <c r="C8" s="724">
        <v>1364.678899</v>
      </c>
      <c r="D8" s="671">
        <v>43.6</v>
      </c>
      <c r="E8" s="88">
        <f>C8*D8</f>
        <v>59499.9999964</v>
      </c>
      <c r="F8" s="88">
        <f>71200-11700</f>
        <v>59500</v>
      </c>
      <c r="G8" s="98" t="s">
        <v>953</v>
      </c>
    </row>
    <row r="9" spans="1:7" ht="30">
      <c r="A9" s="100" t="s">
        <v>398</v>
      </c>
      <c r="B9" s="3" t="s">
        <v>185</v>
      </c>
      <c r="C9" s="118" t="s">
        <v>618</v>
      </c>
      <c r="D9" s="66">
        <v>350</v>
      </c>
      <c r="E9" s="88">
        <f>C9*D9</f>
        <v>10500</v>
      </c>
      <c r="F9" s="88">
        <v>10500</v>
      </c>
      <c r="G9" s="98" t="s">
        <v>787</v>
      </c>
    </row>
    <row r="10" spans="1:7" ht="15" customHeight="1">
      <c r="A10" s="378"/>
      <c r="B10" s="167" t="s">
        <v>38</v>
      </c>
      <c r="C10" s="191" t="s">
        <v>546</v>
      </c>
      <c r="D10" s="377"/>
      <c r="E10" s="192">
        <f>SUM(E8:E9)</f>
        <v>69999.9999964</v>
      </c>
      <c r="F10" s="192">
        <f>SUM(F8:F9)</f>
        <v>70000</v>
      </c>
      <c r="G10" s="98"/>
    </row>
  </sheetData>
  <sheetProtection selectLockedCells="1" selectUnlockedCells="1"/>
  <mergeCells count="1">
    <mergeCell ref="A2:G2"/>
  </mergeCells>
  <printOptions/>
  <pageMargins left="0.7480314960629921" right="0.2755905511811024" top="0.7480314960629921" bottom="0.6692913385826772" header="0.5118110236220472" footer="0.5118110236220472"/>
  <pageSetup fitToHeight="3" horizontalDpi="300" verticalDpi="3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1">
      <selection activeCell="B9" sqref="B9"/>
    </sheetView>
  </sheetViews>
  <sheetFormatPr defaultColWidth="9.140625" defaultRowHeight="15"/>
  <cols>
    <col min="1" max="1" width="6.140625" style="0" customWidth="1"/>
    <col min="2" max="2" width="32.140625" style="0" customWidth="1"/>
    <col min="3" max="3" width="9.28125" style="0" customWidth="1"/>
    <col min="4" max="4" width="11.140625" style="0" customWidth="1"/>
    <col min="5" max="5" width="13.00390625" style="0" customWidth="1"/>
    <col min="6" max="6" width="11.8515625" style="0" customWidth="1"/>
    <col min="7" max="7" width="15.140625" style="0" customWidth="1"/>
    <col min="8" max="8" width="57.00390625" style="0" customWidth="1"/>
    <col min="9" max="9" width="9.140625" style="0" customWidth="1"/>
  </cols>
  <sheetData>
    <row r="2" spans="1:9" ht="22.5" customHeight="1">
      <c r="A2" s="897" t="s">
        <v>491</v>
      </c>
      <c r="B2" s="897"/>
      <c r="C2" s="898" t="s">
        <v>797</v>
      </c>
      <c r="D2" s="898"/>
      <c r="E2" s="898"/>
      <c r="F2" s="898"/>
      <c r="G2" s="898"/>
      <c r="H2" s="898"/>
      <c r="I2" s="443"/>
    </row>
    <row r="3" spans="1:9" ht="29.25" customHeight="1">
      <c r="A3" s="898" t="s">
        <v>493</v>
      </c>
      <c r="B3" s="898"/>
      <c r="C3" s="898" t="s">
        <v>798</v>
      </c>
      <c r="D3" s="898"/>
      <c r="E3" s="898"/>
      <c r="F3" s="898"/>
      <c r="G3" s="898"/>
      <c r="H3" s="898"/>
      <c r="I3" s="443"/>
    </row>
    <row r="4" spans="1:8" ht="18.75" customHeight="1">
      <c r="A4" s="899" t="s">
        <v>860</v>
      </c>
      <c r="B4" s="899"/>
      <c r="C4" s="899"/>
      <c r="D4" s="899"/>
      <c r="E4" s="899"/>
      <c r="F4" s="899"/>
      <c r="G4" s="899"/>
      <c r="H4" s="900"/>
    </row>
    <row r="6" spans="1:8" ht="15" customHeight="1">
      <c r="A6" s="901" t="s">
        <v>496</v>
      </c>
      <c r="B6" s="903" t="s">
        <v>537</v>
      </c>
      <c r="C6" s="903" t="s">
        <v>69</v>
      </c>
      <c r="D6" s="903" t="s">
        <v>70</v>
      </c>
      <c r="E6" s="903" t="s">
        <v>799</v>
      </c>
      <c r="F6" s="905" t="s">
        <v>93</v>
      </c>
      <c r="G6" s="906"/>
      <c r="H6" s="903" t="s">
        <v>800</v>
      </c>
    </row>
    <row r="7" spans="1:8" ht="81.75" customHeight="1">
      <c r="A7" s="902"/>
      <c r="B7" s="904"/>
      <c r="C7" s="904"/>
      <c r="D7" s="904"/>
      <c r="E7" s="904"/>
      <c r="F7" s="444" t="s">
        <v>790</v>
      </c>
      <c r="G7" s="444" t="s">
        <v>726</v>
      </c>
      <c r="H7" s="904"/>
    </row>
    <row r="8" spans="1:8" ht="15">
      <c r="A8" s="445">
        <v>1</v>
      </c>
      <c r="B8" s="445">
        <v>2</v>
      </c>
      <c r="C8" s="445">
        <v>3</v>
      </c>
      <c r="D8" s="445">
        <v>4</v>
      </c>
      <c r="E8" s="445">
        <v>5</v>
      </c>
      <c r="F8" s="445">
        <v>6</v>
      </c>
      <c r="G8" s="445">
        <v>7</v>
      </c>
      <c r="H8" s="445">
        <v>8</v>
      </c>
    </row>
    <row r="9" spans="1:8" ht="57.75" customHeight="1">
      <c r="A9" s="413">
        <v>1</v>
      </c>
      <c r="B9" s="388" t="s">
        <v>805</v>
      </c>
      <c r="C9" s="412">
        <v>2</v>
      </c>
      <c r="D9" s="414">
        <f>E9/C9</f>
        <v>7316.740000000002</v>
      </c>
      <c r="E9" s="414">
        <f>F9+G9</f>
        <v>14633.480000000003</v>
      </c>
      <c r="F9" s="414">
        <v>0</v>
      </c>
      <c r="G9" s="414">
        <f>40225.48-4000-1292-21900+23500-21900</f>
        <v>14633.480000000003</v>
      </c>
      <c r="H9" s="388" t="s">
        <v>861</v>
      </c>
    </row>
    <row r="10" spans="1:8" ht="46.5" customHeight="1">
      <c r="A10" s="413" t="s">
        <v>314</v>
      </c>
      <c r="B10" s="388" t="s">
        <v>950</v>
      </c>
      <c r="C10" s="412">
        <v>1</v>
      </c>
      <c r="D10" s="414">
        <v>490.52</v>
      </c>
      <c r="E10" s="414">
        <v>490.52</v>
      </c>
      <c r="F10" s="414">
        <v>0</v>
      </c>
      <c r="G10" s="414">
        <v>490.52</v>
      </c>
      <c r="H10" s="388" t="s">
        <v>965</v>
      </c>
    </row>
    <row r="11" spans="1:8" ht="39.75" customHeight="1">
      <c r="A11" s="413">
        <v>3</v>
      </c>
      <c r="B11" s="388" t="s">
        <v>964</v>
      </c>
      <c r="C11" s="412">
        <v>1</v>
      </c>
      <c r="D11" s="414">
        <v>3284</v>
      </c>
      <c r="E11" s="414">
        <v>3284</v>
      </c>
      <c r="F11" s="414">
        <v>0</v>
      </c>
      <c r="G11" s="414">
        <v>3284</v>
      </c>
      <c r="H11" s="388" t="s">
        <v>966</v>
      </c>
    </row>
    <row r="12" spans="1:8" ht="39.75" customHeight="1">
      <c r="A12" s="413" t="s">
        <v>318</v>
      </c>
      <c r="B12" s="388" t="s">
        <v>1016</v>
      </c>
      <c r="C12" s="412">
        <v>2</v>
      </c>
      <c r="D12" s="414">
        <v>646</v>
      </c>
      <c r="E12" s="414">
        <v>1292</v>
      </c>
      <c r="F12" s="414">
        <v>0</v>
      </c>
      <c r="G12" s="414">
        <v>1292</v>
      </c>
      <c r="H12" s="388" t="s">
        <v>1017</v>
      </c>
    </row>
    <row r="13" spans="1:8" ht="24.75" customHeight="1">
      <c r="A13" s="413" t="s">
        <v>320</v>
      </c>
      <c r="B13" s="388" t="s">
        <v>1060</v>
      </c>
      <c r="C13" s="412">
        <v>2</v>
      </c>
      <c r="D13" s="414">
        <f>21900+21900</f>
        <v>43800</v>
      </c>
      <c r="E13" s="414">
        <f>21900+21900</f>
        <v>43800</v>
      </c>
      <c r="F13" s="414">
        <v>0</v>
      </c>
      <c r="G13" s="414">
        <f>21900+21900</f>
        <v>43800</v>
      </c>
      <c r="H13" s="388" t="s">
        <v>1100</v>
      </c>
    </row>
    <row r="14" spans="1:8" ht="50.25" customHeight="1">
      <c r="A14" s="413" t="s">
        <v>322</v>
      </c>
      <c r="B14" s="388" t="s">
        <v>804</v>
      </c>
      <c r="C14" s="412">
        <f>5</f>
        <v>5</v>
      </c>
      <c r="D14" s="414">
        <f>E14/C14</f>
        <v>6520</v>
      </c>
      <c r="E14" s="414">
        <f>F14+G14</f>
        <v>32600</v>
      </c>
      <c r="F14" s="414">
        <v>0</v>
      </c>
      <c r="G14" s="414">
        <f>37000-4400</f>
        <v>32600</v>
      </c>
      <c r="H14" s="388" t="s">
        <v>862</v>
      </c>
    </row>
    <row r="15" spans="1:8" ht="27" customHeight="1">
      <c r="A15" s="413" t="s">
        <v>324</v>
      </c>
      <c r="B15" s="388" t="s">
        <v>931</v>
      </c>
      <c r="C15" s="412">
        <v>3</v>
      </c>
      <c r="D15" s="414">
        <v>10000</v>
      </c>
      <c r="E15" s="414">
        <v>30000</v>
      </c>
      <c r="F15" s="414">
        <v>0</v>
      </c>
      <c r="G15" s="414">
        <v>30000</v>
      </c>
      <c r="H15" s="388" t="s">
        <v>932</v>
      </c>
    </row>
    <row r="16" spans="1:8" ht="39.75" customHeight="1">
      <c r="A16" s="413" t="s">
        <v>326</v>
      </c>
      <c r="B16" s="388" t="s">
        <v>948</v>
      </c>
      <c r="C16" s="412">
        <v>1</v>
      </c>
      <c r="D16" s="414">
        <v>4399.69</v>
      </c>
      <c r="E16" s="414">
        <v>4399.69</v>
      </c>
      <c r="F16" s="414">
        <v>0</v>
      </c>
      <c r="G16" s="414">
        <v>4400</v>
      </c>
      <c r="H16" s="388" t="s">
        <v>949</v>
      </c>
    </row>
    <row r="17" spans="1:8" ht="27" customHeight="1" hidden="1">
      <c r="A17" s="413" t="s">
        <v>328</v>
      </c>
      <c r="B17" s="388" t="s">
        <v>803</v>
      </c>
      <c r="C17" s="412"/>
      <c r="D17" s="414"/>
      <c r="E17" s="414"/>
      <c r="F17" s="414">
        <f>6000-6000</f>
        <v>0</v>
      </c>
      <c r="G17" s="414">
        <v>0</v>
      </c>
      <c r="H17" s="388" t="s">
        <v>871</v>
      </c>
    </row>
    <row r="18" spans="1:8" ht="41.25" customHeight="1">
      <c r="A18" s="413" t="s">
        <v>328</v>
      </c>
      <c r="B18" s="388" t="s">
        <v>1023</v>
      </c>
      <c r="C18" s="412">
        <v>1</v>
      </c>
      <c r="D18" s="414">
        <v>555000</v>
      </c>
      <c r="E18" s="414">
        <v>555000</v>
      </c>
      <c r="F18" s="414">
        <v>555000</v>
      </c>
      <c r="G18" s="414">
        <v>0</v>
      </c>
      <c r="H18" s="388" t="s">
        <v>1024</v>
      </c>
    </row>
    <row r="19" spans="1:8" ht="33" customHeight="1">
      <c r="A19" s="413" t="s">
        <v>1098</v>
      </c>
      <c r="B19" s="388" t="s">
        <v>1099</v>
      </c>
      <c r="C19" s="412">
        <v>2</v>
      </c>
      <c r="D19" s="414">
        <v>1500000</v>
      </c>
      <c r="E19" s="414">
        <v>1500000</v>
      </c>
      <c r="F19" s="414">
        <v>0</v>
      </c>
      <c r="G19" s="414">
        <v>1500000</v>
      </c>
      <c r="H19" s="388" t="s">
        <v>1101</v>
      </c>
    </row>
    <row r="20" spans="1:8" ht="75.75" customHeight="1">
      <c r="A20" s="413" t="s">
        <v>1109</v>
      </c>
      <c r="B20" s="537" t="s">
        <v>1106</v>
      </c>
      <c r="C20" s="412">
        <v>14</v>
      </c>
      <c r="D20" s="414">
        <f>E20/C20</f>
        <v>19642.85714285714</v>
      </c>
      <c r="E20" s="414">
        <v>275000</v>
      </c>
      <c r="F20" s="414">
        <v>275000</v>
      </c>
      <c r="G20" s="414">
        <v>0</v>
      </c>
      <c r="H20" s="388" t="s">
        <v>1110</v>
      </c>
    </row>
    <row r="21" spans="1:8" ht="30" customHeight="1">
      <c r="A21" s="413"/>
      <c r="B21" s="388"/>
      <c r="C21" s="412"/>
      <c r="D21" s="414"/>
      <c r="E21" s="446">
        <f>SUM(E9:E20)</f>
        <v>2460499.69</v>
      </c>
      <c r="F21" s="446">
        <f>SUM(F9:F20)</f>
        <v>830000</v>
      </c>
      <c r="G21" s="446">
        <f>SUM(G9:G20)</f>
        <v>1630500</v>
      </c>
      <c r="H21" s="412"/>
    </row>
    <row r="23" spans="6:7" ht="15" hidden="1">
      <c r="F23" s="447" t="s">
        <v>801</v>
      </c>
      <c r="G23" s="448">
        <f>G21</f>
        <v>1630500</v>
      </c>
    </row>
    <row r="24" ht="15" hidden="1"/>
    <row r="25" ht="15" hidden="1"/>
    <row r="26" ht="15" hidden="1"/>
    <row r="27" ht="15" hidden="1"/>
    <row r="28" spans="6:7" ht="15" hidden="1">
      <c r="F28" s="447" t="s">
        <v>802</v>
      </c>
      <c r="G28" s="448">
        <f>F21</f>
        <v>830000</v>
      </c>
    </row>
    <row r="29" spans="6:7" ht="15" hidden="1">
      <c r="F29" s="447" t="s">
        <v>801</v>
      </c>
      <c r="G29" s="448">
        <f>G21</f>
        <v>1630500</v>
      </c>
    </row>
  </sheetData>
  <sheetProtection/>
  <mergeCells count="12">
    <mergeCell ref="F6:G6"/>
    <mergeCell ref="H6:H7"/>
    <mergeCell ref="A2:B2"/>
    <mergeCell ref="C2:H2"/>
    <mergeCell ref="A3:B3"/>
    <mergeCell ref="C3:H3"/>
    <mergeCell ref="A4:H4"/>
    <mergeCell ref="A6:A7"/>
    <mergeCell ref="B6:B7"/>
    <mergeCell ref="C6:C7"/>
    <mergeCell ref="D6:D7"/>
    <mergeCell ref="E6:E7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N82"/>
  <sheetViews>
    <sheetView zoomScalePageLayoutView="0" workbookViewId="0" topLeftCell="A3">
      <selection activeCell="A82" sqref="A82:E82"/>
    </sheetView>
  </sheetViews>
  <sheetFormatPr defaultColWidth="9.140625" defaultRowHeight="15" customHeight="1"/>
  <cols>
    <col min="1" max="1" width="7.140625" style="421" customWidth="1"/>
    <col min="2" max="2" width="7.00390625" style="421" customWidth="1"/>
    <col min="3" max="3" width="10.57421875" style="421" customWidth="1"/>
    <col min="4" max="4" width="6.8515625" style="421" customWidth="1"/>
    <col min="5" max="5" width="8.140625" style="421" customWidth="1"/>
    <col min="6" max="6" width="9.140625" style="590" customWidth="1"/>
    <col min="7" max="7" width="12.28125" style="421" customWidth="1"/>
    <col min="8" max="8" width="11.28125" style="421" customWidth="1"/>
    <col min="9" max="9" width="12.00390625" style="421" customWidth="1"/>
    <col min="10" max="10" width="11.00390625" style="421" customWidth="1"/>
    <col min="11" max="12" width="12.140625" style="421" customWidth="1"/>
    <col min="13" max="13" width="13.28125" style="421" customWidth="1"/>
    <col min="14" max="16384" width="9.140625" style="421" customWidth="1"/>
  </cols>
  <sheetData>
    <row r="1" ht="15" customHeight="1" hidden="1"/>
    <row r="2" ht="15" customHeight="1" hidden="1"/>
    <row r="3" ht="12.75">
      <c r="A3" s="589" t="s">
        <v>206</v>
      </c>
    </row>
    <row r="5" spans="1:8" ht="12.75">
      <c r="A5" s="421" t="s">
        <v>840</v>
      </c>
      <c r="H5" s="589"/>
    </row>
    <row r="6" spans="1:13" ht="12.75">
      <c r="A6" s="857" t="s">
        <v>188</v>
      </c>
      <c r="B6" s="907" t="s">
        <v>189</v>
      </c>
      <c r="C6" s="907" t="s">
        <v>147</v>
      </c>
      <c r="D6" s="907" t="s">
        <v>190</v>
      </c>
      <c r="E6" s="907" t="s">
        <v>77</v>
      </c>
      <c r="F6" s="857" t="s">
        <v>191</v>
      </c>
      <c r="G6" s="925" t="s">
        <v>192</v>
      </c>
      <c r="H6" s="926"/>
      <c r="I6" s="926"/>
      <c r="J6" s="926"/>
      <c r="K6" s="926"/>
      <c r="L6" s="926"/>
      <c r="M6" s="927"/>
    </row>
    <row r="7" spans="1:13" ht="12.75">
      <c r="A7" s="913"/>
      <c r="B7" s="912"/>
      <c r="C7" s="912"/>
      <c r="D7" s="912"/>
      <c r="E7" s="912"/>
      <c r="F7" s="913"/>
      <c r="G7" s="857" t="s">
        <v>654</v>
      </c>
      <c r="H7" s="916" t="s">
        <v>93</v>
      </c>
      <c r="I7" s="917"/>
      <c r="J7" s="917"/>
      <c r="K7" s="918"/>
      <c r="L7" s="857" t="s">
        <v>602</v>
      </c>
      <c r="M7" s="907" t="s">
        <v>655</v>
      </c>
    </row>
    <row r="8" spans="1:13" ht="12.75">
      <c r="A8" s="858"/>
      <c r="B8" s="908"/>
      <c r="C8" s="908"/>
      <c r="D8" s="908"/>
      <c r="E8" s="908"/>
      <c r="F8" s="858"/>
      <c r="G8" s="858"/>
      <c r="H8" s="593" t="s">
        <v>193</v>
      </c>
      <c r="I8" s="593" t="s">
        <v>194</v>
      </c>
      <c r="J8" s="593" t="s">
        <v>195</v>
      </c>
      <c r="K8" s="593" t="s">
        <v>196</v>
      </c>
      <c r="L8" s="858"/>
      <c r="M8" s="908"/>
    </row>
    <row r="9" spans="1:13" ht="12.75">
      <c r="A9" s="909" t="s">
        <v>841</v>
      </c>
      <c r="B9" s="910"/>
      <c r="C9" s="910"/>
      <c r="D9" s="910"/>
      <c r="E9" s="910"/>
      <c r="F9" s="911"/>
      <c r="G9" s="594"/>
      <c r="H9" s="595"/>
      <c r="I9" s="595"/>
      <c r="J9" s="595"/>
      <c r="K9" s="595"/>
      <c r="L9" s="595"/>
      <c r="M9" s="595"/>
    </row>
    <row r="10" spans="1:13" ht="12.75">
      <c r="A10" s="896" t="s">
        <v>218</v>
      </c>
      <c r="B10" s="896"/>
      <c r="C10" s="896"/>
      <c r="D10" s="896"/>
      <c r="E10" s="860"/>
      <c r="F10" s="413" t="s">
        <v>198</v>
      </c>
      <c r="G10" s="596">
        <f>H10+I10+J10+K10</f>
        <v>54650</v>
      </c>
      <c r="H10" s="596">
        <v>54650</v>
      </c>
      <c r="I10" s="596">
        <v>0</v>
      </c>
      <c r="J10" s="596">
        <v>0</v>
      </c>
      <c r="K10" s="596">
        <v>0</v>
      </c>
      <c r="L10" s="596">
        <v>0</v>
      </c>
      <c r="M10" s="596">
        <v>0</v>
      </c>
    </row>
    <row r="11" spans="1:13" ht="12.75">
      <c r="A11" s="896" t="s">
        <v>197</v>
      </c>
      <c r="B11" s="896"/>
      <c r="C11" s="896"/>
      <c r="D11" s="896"/>
      <c r="E11" s="860"/>
      <c r="F11" s="413" t="s">
        <v>198</v>
      </c>
      <c r="G11" s="596">
        <f>H11+I11+J11+K11</f>
        <v>807876.67</v>
      </c>
      <c r="H11" s="596">
        <v>807876.67</v>
      </c>
      <c r="I11" s="596">
        <v>0</v>
      </c>
      <c r="J11" s="596">
        <v>0</v>
      </c>
      <c r="K11" s="596">
        <v>0</v>
      </c>
      <c r="L11" s="596">
        <v>0</v>
      </c>
      <c r="M11" s="596">
        <v>0</v>
      </c>
    </row>
    <row r="12" spans="1:13" ht="12.75">
      <c r="A12" s="896" t="s">
        <v>199</v>
      </c>
      <c r="B12" s="896"/>
      <c r="C12" s="896"/>
      <c r="D12" s="896"/>
      <c r="E12" s="860"/>
      <c r="F12" s="413" t="s">
        <v>200</v>
      </c>
      <c r="G12" s="596">
        <f>H12+I12+J12+K12</f>
        <v>0</v>
      </c>
      <c r="H12" s="596">
        <v>0</v>
      </c>
      <c r="I12" s="596">
        <v>0</v>
      </c>
      <c r="J12" s="596">
        <v>0</v>
      </c>
      <c r="K12" s="596">
        <v>0</v>
      </c>
      <c r="L12" s="596">
        <v>0</v>
      </c>
      <c r="M12" s="596">
        <v>0</v>
      </c>
    </row>
    <row r="13" spans="1:13" ht="12.75">
      <c r="A13" s="909" t="s">
        <v>201</v>
      </c>
      <c r="B13" s="910"/>
      <c r="C13" s="910"/>
      <c r="D13" s="910"/>
      <c r="E13" s="910"/>
      <c r="F13" s="911"/>
      <c r="G13" s="594"/>
      <c r="H13" s="596"/>
      <c r="I13" s="596"/>
      <c r="J13" s="596"/>
      <c r="K13" s="596"/>
      <c r="L13" s="596"/>
      <c r="M13" s="596"/>
    </row>
    <row r="14" spans="1:13" ht="12.75">
      <c r="A14" s="896" t="s">
        <v>197</v>
      </c>
      <c r="B14" s="896"/>
      <c r="C14" s="896"/>
      <c r="D14" s="896"/>
      <c r="E14" s="860"/>
      <c r="F14" s="413" t="s">
        <v>198</v>
      </c>
      <c r="G14" s="596">
        <f>SUM(H14:K14)</f>
        <v>10620000</v>
      </c>
      <c r="H14" s="596">
        <v>2674113</v>
      </c>
      <c r="I14" s="596">
        <v>3089212</v>
      </c>
      <c r="J14" s="596">
        <v>2575513</v>
      </c>
      <c r="K14" s="596">
        <v>2281162</v>
      </c>
      <c r="L14" s="596">
        <v>11621250</v>
      </c>
      <c r="M14" s="596">
        <v>11621250</v>
      </c>
    </row>
    <row r="15" spans="1:13" ht="12.75">
      <c r="A15" s="896" t="s">
        <v>224</v>
      </c>
      <c r="B15" s="896"/>
      <c r="C15" s="896"/>
      <c r="D15" s="896"/>
      <c r="E15" s="860"/>
      <c r="F15" s="413" t="s">
        <v>198</v>
      </c>
      <c r="G15" s="596">
        <f>SUM(H15:K15)</f>
        <v>468400</v>
      </c>
      <c r="H15" s="596">
        <f>'Пр. №4 2019 год '!S114</f>
        <v>28000</v>
      </c>
      <c r="I15" s="596">
        <f>'Пр. №4 2019 год '!AA114</f>
        <v>25000</v>
      </c>
      <c r="J15" s="596">
        <v>341600</v>
      </c>
      <c r="K15" s="596">
        <v>73800</v>
      </c>
      <c r="L15" s="596">
        <v>820000</v>
      </c>
      <c r="M15" s="596">
        <v>820000</v>
      </c>
    </row>
    <row r="16" spans="1:13" ht="12.75">
      <c r="A16" s="919" t="s">
        <v>187</v>
      </c>
      <c r="B16" s="920"/>
      <c r="C16" s="920"/>
      <c r="D16" s="920"/>
      <c r="E16" s="920"/>
      <c r="F16" s="921"/>
      <c r="G16" s="597">
        <f>SUM(G10:G15)</f>
        <v>11950926.67</v>
      </c>
      <c r="H16" s="597">
        <f>SUM(H10:H15)</f>
        <v>3564639.67</v>
      </c>
      <c r="I16" s="597">
        <f>SUM(I14:I15)</f>
        <v>3114212</v>
      </c>
      <c r="J16" s="597">
        <f>SUM(J14:J15)</f>
        <v>2917113</v>
      </c>
      <c r="K16" s="597">
        <f>SUM(K14:K15)</f>
        <v>2354962</v>
      </c>
      <c r="L16" s="597">
        <f>SUM(L14:L15)</f>
        <v>12441250</v>
      </c>
      <c r="M16" s="597">
        <f>SUM(M14:M15)</f>
        <v>12441250</v>
      </c>
    </row>
    <row r="17" spans="1:13" ht="12.75">
      <c r="A17" s="914" t="s">
        <v>202</v>
      </c>
      <c r="B17" s="914"/>
      <c r="C17" s="914"/>
      <c r="D17" s="914"/>
      <c r="E17" s="915"/>
      <c r="F17" s="598"/>
      <c r="G17" s="599"/>
      <c r="H17" s="599"/>
      <c r="I17" s="599"/>
      <c r="J17" s="599"/>
      <c r="K17" s="599"/>
      <c r="L17" s="599"/>
      <c r="M17" s="599"/>
    </row>
    <row r="18" spans="1:13" ht="12.75">
      <c r="A18" s="922" t="s">
        <v>203</v>
      </c>
      <c r="B18" s="922"/>
      <c r="C18" s="922"/>
      <c r="D18" s="922"/>
      <c r="E18" s="923"/>
      <c r="F18" s="600" t="s">
        <v>198</v>
      </c>
      <c r="G18" s="601">
        <f>SUM(H18:K18)</f>
        <v>12205526.67</v>
      </c>
      <c r="H18" s="601">
        <f aca="true" t="shared" si="0" ref="H18:M18">SUM(H20:H41)</f>
        <v>3603639.67</v>
      </c>
      <c r="I18" s="601">
        <f t="shared" si="0"/>
        <v>3374912</v>
      </c>
      <c r="J18" s="601">
        <f t="shared" si="0"/>
        <v>2880113</v>
      </c>
      <c r="K18" s="601">
        <f t="shared" si="0"/>
        <v>2346862</v>
      </c>
      <c r="L18" s="601">
        <f t="shared" si="0"/>
        <v>12344250</v>
      </c>
      <c r="M18" s="601">
        <f t="shared" si="0"/>
        <v>12344250</v>
      </c>
    </row>
    <row r="19" spans="1:13" ht="12.75">
      <c r="A19" s="602"/>
      <c r="B19" s="602"/>
      <c r="C19" s="602"/>
      <c r="D19" s="602"/>
      <c r="E19" s="602"/>
      <c r="F19" s="602"/>
      <c r="G19" s="603"/>
      <c r="H19" s="604"/>
      <c r="I19" s="604"/>
      <c r="J19" s="604"/>
      <c r="K19" s="604"/>
      <c r="L19" s="604"/>
      <c r="M19" s="604"/>
    </row>
    <row r="20" spans="1:13" ht="12.75">
      <c r="A20" s="595">
        <v>808</v>
      </c>
      <c r="B20" s="605" t="s">
        <v>204</v>
      </c>
      <c r="C20" s="605" t="s">
        <v>899</v>
      </c>
      <c r="D20" s="595">
        <v>111</v>
      </c>
      <c r="E20" s="595">
        <v>211</v>
      </c>
      <c r="F20" s="413" t="s">
        <v>198</v>
      </c>
      <c r="G20" s="606">
        <f>SUM(H20:K20)</f>
        <v>5556600</v>
      </c>
      <c r="H20" s="596">
        <v>1845900</v>
      </c>
      <c r="I20" s="16">
        <f>1521558.71-255258.71</f>
        <v>1266300</v>
      </c>
      <c r="J20" s="16">
        <f>1521651.47-255251.47</f>
        <v>1266400</v>
      </c>
      <c r="K20" s="16">
        <v>1178000</v>
      </c>
      <c r="L20" s="596">
        <v>5556600</v>
      </c>
      <c r="M20" s="596">
        <f>L20</f>
        <v>5556600</v>
      </c>
    </row>
    <row r="21" spans="1:13" ht="12.75">
      <c r="A21" s="595">
        <v>808</v>
      </c>
      <c r="B21" s="605" t="s">
        <v>204</v>
      </c>
      <c r="C21" s="605" t="str">
        <f aca="true" t="shared" si="1" ref="C21:C27">C20</f>
        <v>0230100110</v>
      </c>
      <c r="D21" s="595">
        <v>119</v>
      </c>
      <c r="E21" s="595">
        <v>213</v>
      </c>
      <c r="F21" s="413" t="s">
        <v>198</v>
      </c>
      <c r="G21" s="606">
        <f aca="true" t="shared" si="2" ref="G21:G43">SUM(H21:K21)</f>
        <v>1677126.67</v>
      </c>
      <c r="H21" s="596">
        <v>556476.67</v>
      </c>
      <c r="I21" s="16">
        <v>382400</v>
      </c>
      <c r="J21" s="16">
        <v>382500</v>
      </c>
      <c r="K21" s="16">
        <v>355750</v>
      </c>
      <c r="L21" s="596">
        <v>1677100</v>
      </c>
      <c r="M21" s="596">
        <f aca="true" t="shared" si="3" ref="M21:M42">L21</f>
        <v>1677100</v>
      </c>
    </row>
    <row r="22" spans="1:13" ht="12.75">
      <c r="A22" s="595">
        <v>808</v>
      </c>
      <c r="B22" s="605" t="s">
        <v>204</v>
      </c>
      <c r="C22" s="605" t="str">
        <f t="shared" si="1"/>
        <v>0230100110</v>
      </c>
      <c r="D22" s="595">
        <v>111</v>
      </c>
      <c r="E22" s="595">
        <v>266</v>
      </c>
      <c r="F22" s="413" t="s">
        <v>198</v>
      </c>
      <c r="G22" s="606">
        <f t="shared" si="2"/>
        <v>6000</v>
      </c>
      <c r="H22" s="596">
        <v>3000</v>
      </c>
      <c r="I22" s="596">
        <v>3000</v>
      </c>
      <c r="J22" s="596">
        <v>0</v>
      </c>
      <c r="K22" s="596">
        <v>0</v>
      </c>
      <c r="L22" s="596">
        <v>6000</v>
      </c>
      <c r="M22" s="596">
        <f t="shared" si="3"/>
        <v>6000</v>
      </c>
    </row>
    <row r="23" spans="1:13" ht="12.75">
      <c r="A23" s="595">
        <v>808</v>
      </c>
      <c r="B23" s="605" t="s">
        <v>204</v>
      </c>
      <c r="C23" s="605" t="str">
        <f t="shared" si="1"/>
        <v>0230100110</v>
      </c>
      <c r="D23" s="595">
        <v>112</v>
      </c>
      <c r="E23" s="595">
        <v>266</v>
      </c>
      <c r="F23" s="413" t="s">
        <v>198</v>
      </c>
      <c r="G23" s="606">
        <f t="shared" si="2"/>
        <v>2250</v>
      </c>
      <c r="H23" s="596">
        <v>563</v>
      </c>
      <c r="I23" s="596">
        <v>562</v>
      </c>
      <c r="J23" s="596">
        <v>563</v>
      </c>
      <c r="K23" s="596">
        <v>562</v>
      </c>
      <c r="L23" s="596">
        <v>2250</v>
      </c>
      <c r="M23" s="596">
        <f t="shared" si="3"/>
        <v>2250</v>
      </c>
    </row>
    <row r="24" spans="1:13" ht="12.75">
      <c r="A24" s="595">
        <v>808</v>
      </c>
      <c r="B24" s="605" t="s">
        <v>204</v>
      </c>
      <c r="C24" s="605" t="str">
        <f t="shared" si="1"/>
        <v>0230100110</v>
      </c>
      <c r="D24" s="595">
        <v>112</v>
      </c>
      <c r="E24" s="595">
        <v>212</v>
      </c>
      <c r="F24" s="413" t="s">
        <v>198</v>
      </c>
      <c r="G24" s="606">
        <f t="shared" si="2"/>
        <v>21000</v>
      </c>
      <c r="H24" s="596">
        <v>11000</v>
      </c>
      <c r="I24" s="596">
        <v>10000</v>
      </c>
      <c r="J24" s="596">
        <v>0</v>
      </c>
      <c r="K24" s="596">
        <v>0</v>
      </c>
      <c r="L24" s="596">
        <v>21000</v>
      </c>
      <c r="M24" s="596">
        <f t="shared" si="3"/>
        <v>21000</v>
      </c>
    </row>
    <row r="25" spans="1:13" ht="12.75">
      <c r="A25" s="595">
        <v>808</v>
      </c>
      <c r="B25" s="605" t="s">
        <v>204</v>
      </c>
      <c r="C25" s="605" t="str">
        <f t="shared" si="1"/>
        <v>0230100110</v>
      </c>
      <c r="D25" s="595">
        <v>112</v>
      </c>
      <c r="E25" s="595">
        <v>226</v>
      </c>
      <c r="F25" s="413" t="s">
        <v>198</v>
      </c>
      <c r="G25" s="606">
        <f t="shared" si="2"/>
        <v>39000</v>
      </c>
      <c r="H25" s="596">
        <v>19500</v>
      </c>
      <c r="I25" s="596">
        <v>19500</v>
      </c>
      <c r="J25" s="596">
        <v>0</v>
      </c>
      <c r="K25" s="596">
        <v>0</v>
      </c>
      <c r="L25" s="596">
        <v>39000</v>
      </c>
      <c r="M25" s="596">
        <f t="shared" si="3"/>
        <v>39000</v>
      </c>
    </row>
    <row r="26" spans="1:13" ht="12.75">
      <c r="A26" s="595">
        <v>808</v>
      </c>
      <c r="B26" s="605" t="s">
        <v>204</v>
      </c>
      <c r="C26" s="605" t="str">
        <f t="shared" si="1"/>
        <v>0230100110</v>
      </c>
      <c r="D26" s="595">
        <v>851</v>
      </c>
      <c r="E26" s="595">
        <v>291</v>
      </c>
      <c r="F26" s="413" t="s">
        <v>198</v>
      </c>
      <c r="G26" s="606">
        <f t="shared" si="2"/>
        <v>141200</v>
      </c>
      <c r="H26" s="596">
        <v>44800</v>
      </c>
      <c r="I26" s="596">
        <v>31600</v>
      </c>
      <c r="J26" s="596">
        <v>54600</v>
      </c>
      <c r="K26" s="596">
        <v>10200</v>
      </c>
      <c r="L26" s="596">
        <v>141200</v>
      </c>
      <c r="M26" s="596">
        <f t="shared" si="3"/>
        <v>141200</v>
      </c>
    </row>
    <row r="27" spans="1:13" ht="12.75">
      <c r="A27" s="595">
        <v>808</v>
      </c>
      <c r="B27" s="605" t="s">
        <v>204</v>
      </c>
      <c r="C27" s="605" t="str">
        <f t="shared" si="1"/>
        <v>0230100110</v>
      </c>
      <c r="D27" s="595">
        <v>852</v>
      </c>
      <c r="E27" s="595">
        <v>291</v>
      </c>
      <c r="F27" s="413" t="s">
        <v>198</v>
      </c>
      <c r="G27" s="606">
        <f t="shared" si="2"/>
        <v>12000</v>
      </c>
      <c r="H27" s="596">
        <v>6500</v>
      </c>
      <c r="I27" s="596">
        <v>0</v>
      </c>
      <c r="J27" s="596">
        <v>5500</v>
      </c>
      <c r="K27" s="596">
        <v>0</v>
      </c>
      <c r="L27" s="596">
        <v>12000</v>
      </c>
      <c r="M27" s="596">
        <f t="shared" si="3"/>
        <v>12000</v>
      </c>
    </row>
    <row r="28" spans="1:13" ht="12.75">
      <c r="A28" s="595">
        <v>808</v>
      </c>
      <c r="B28" s="605" t="s">
        <v>204</v>
      </c>
      <c r="C28" s="605" t="str">
        <f>C21</f>
        <v>0230100110</v>
      </c>
      <c r="D28" s="595">
        <v>244</v>
      </c>
      <c r="E28" s="595">
        <v>221</v>
      </c>
      <c r="F28" s="413" t="s">
        <v>198</v>
      </c>
      <c r="G28" s="606">
        <f t="shared" si="2"/>
        <v>80400</v>
      </c>
      <c r="H28" s="596">
        <v>20600</v>
      </c>
      <c r="I28" s="596">
        <v>20400</v>
      </c>
      <c r="J28" s="596">
        <v>20600</v>
      </c>
      <c r="K28" s="596">
        <v>18800</v>
      </c>
      <c r="L28" s="596">
        <v>80400</v>
      </c>
      <c r="M28" s="596">
        <f t="shared" si="3"/>
        <v>80400</v>
      </c>
    </row>
    <row r="29" spans="1:13" ht="12.75">
      <c r="A29" s="595">
        <v>808</v>
      </c>
      <c r="B29" s="605" t="s">
        <v>204</v>
      </c>
      <c r="C29" s="605" t="str">
        <f aca="true" t="shared" si="4" ref="C29:C43">C28</f>
        <v>0230100110</v>
      </c>
      <c r="D29" s="595">
        <v>244</v>
      </c>
      <c r="E29" s="595">
        <v>222</v>
      </c>
      <c r="F29" s="413" t="s">
        <v>198</v>
      </c>
      <c r="G29" s="606">
        <f t="shared" si="2"/>
        <v>5300</v>
      </c>
      <c r="H29" s="596">
        <v>5300</v>
      </c>
      <c r="I29" s="596">
        <v>0</v>
      </c>
      <c r="J29" s="596">
        <v>0</v>
      </c>
      <c r="K29" s="596">
        <v>0</v>
      </c>
      <c r="L29" s="596">
        <v>5300</v>
      </c>
      <c r="M29" s="596">
        <f t="shared" si="3"/>
        <v>5300</v>
      </c>
    </row>
    <row r="30" spans="1:13" ht="12.75">
      <c r="A30" s="595">
        <v>808</v>
      </c>
      <c r="B30" s="605" t="s">
        <v>204</v>
      </c>
      <c r="C30" s="605" t="str">
        <f t="shared" si="4"/>
        <v>0230100110</v>
      </c>
      <c r="D30" s="595">
        <v>244</v>
      </c>
      <c r="E30" s="595">
        <v>223</v>
      </c>
      <c r="F30" s="413" t="s">
        <v>198</v>
      </c>
      <c r="G30" s="606">
        <f t="shared" si="2"/>
        <v>1122900</v>
      </c>
      <c r="H30" s="596">
        <v>297900</v>
      </c>
      <c r="I30" s="596">
        <v>304200</v>
      </c>
      <c r="J30" s="596">
        <v>276400</v>
      </c>
      <c r="K30" s="596">
        <v>244400</v>
      </c>
      <c r="L30" s="596">
        <v>1122900</v>
      </c>
      <c r="M30" s="596">
        <v>1122900</v>
      </c>
    </row>
    <row r="31" spans="1:13" ht="12.75" hidden="1">
      <c r="A31" s="595">
        <v>808</v>
      </c>
      <c r="B31" s="605" t="s">
        <v>204</v>
      </c>
      <c r="C31" s="605" t="str">
        <f t="shared" si="4"/>
        <v>0230100110</v>
      </c>
      <c r="D31" s="595">
        <v>244</v>
      </c>
      <c r="E31" s="595" t="s">
        <v>150</v>
      </c>
      <c r="F31" s="413" t="s">
        <v>198</v>
      </c>
      <c r="G31" s="606">
        <f t="shared" si="2"/>
        <v>0</v>
      </c>
      <c r="H31" s="596"/>
      <c r="I31" s="596"/>
      <c r="J31" s="596"/>
      <c r="K31" s="596"/>
      <c r="L31" s="596"/>
      <c r="M31" s="596">
        <f t="shared" si="3"/>
        <v>0</v>
      </c>
    </row>
    <row r="32" spans="1:13" ht="12.75" hidden="1">
      <c r="A32" s="595">
        <v>808</v>
      </c>
      <c r="B32" s="605" t="s">
        <v>204</v>
      </c>
      <c r="C32" s="605" t="str">
        <f t="shared" si="4"/>
        <v>0230100110</v>
      </c>
      <c r="D32" s="595">
        <v>244</v>
      </c>
      <c r="E32" s="595" t="s">
        <v>151</v>
      </c>
      <c r="F32" s="413" t="s">
        <v>198</v>
      </c>
      <c r="G32" s="606">
        <f t="shared" si="2"/>
        <v>0</v>
      </c>
      <c r="H32" s="596"/>
      <c r="I32" s="596"/>
      <c r="J32" s="596"/>
      <c r="K32" s="596"/>
      <c r="L32" s="596"/>
      <c r="M32" s="596">
        <f t="shared" si="3"/>
        <v>0</v>
      </c>
    </row>
    <row r="33" spans="1:13" ht="12.75" hidden="1">
      <c r="A33" s="595">
        <v>808</v>
      </c>
      <c r="B33" s="605" t="s">
        <v>204</v>
      </c>
      <c r="C33" s="605" t="str">
        <f t="shared" si="4"/>
        <v>0230100110</v>
      </c>
      <c r="D33" s="595">
        <v>244</v>
      </c>
      <c r="E33" s="595" t="s">
        <v>152</v>
      </c>
      <c r="F33" s="413" t="s">
        <v>198</v>
      </c>
      <c r="G33" s="606">
        <f t="shared" si="2"/>
        <v>0</v>
      </c>
      <c r="H33" s="596"/>
      <c r="I33" s="596"/>
      <c r="J33" s="596"/>
      <c r="K33" s="596"/>
      <c r="L33" s="596"/>
      <c r="M33" s="596">
        <f t="shared" si="3"/>
        <v>0</v>
      </c>
    </row>
    <row r="34" spans="1:13" ht="12.75">
      <c r="A34" s="595">
        <v>808</v>
      </c>
      <c r="B34" s="605" t="s">
        <v>204</v>
      </c>
      <c r="C34" s="605" t="str">
        <f t="shared" si="4"/>
        <v>0230100110</v>
      </c>
      <c r="D34" s="595">
        <v>244</v>
      </c>
      <c r="E34" s="595">
        <v>224</v>
      </c>
      <c r="F34" s="413" t="s">
        <v>198</v>
      </c>
      <c r="G34" s="606">
        <f t="shared" si="2"/>
        <v>235000</v>
      </c>
      <c r="H34" s="596">
        <v>43800</v>
      </c>
      <c r="I34" s="596">
        <v>43800</v>
      </c>
      <c r="J34" s="596">
        <v>103600</v>
      </c>
      <c r="K34" s="596">
        <v>43800</v>
      </c>
      <c r="L34" s="596">
        <v>235000</v>
      </c>
      <c r="M34" s="596">
        <f t="shared" si="3"/>
        <v>235000</v>
      </c>
    </row>
    <row r="35" spans="1:13" ht="12.75">
      <c r="A35" s="595">
        <v>808</v>
      </c>
      <c r="B35" s="605" t="s">
        <v>204</v>
      </c>
      <c r="C35" s="605" t="str">
        <f t="shared" si="4"/>
        <v>0230100110</v>
      </c>
      <c r="D35" s="595">
        <v>244</v>
      </c>
      <c r="E35" s="595">
        <v>225</v>
      </c>
      <c r="F35" s="413" t="s">
        <v>198</v>
      </c>
      <c r="G35" s="606">
        <f t="shared" si="2"/>
        <v>1184700</v>
      </c>
      <c r="H35" s="596">
        <v>267400</v>
      </c>
      <c r="I35" s="596">
        <v>573900</v>
      </c>
      <c r="J35" s="596">
        <v>239400</v>
      </c>
      <c r="K35" s="596">
        <v>104000</v>
      </c>
      <c r="L35" s="596">
        <v>1184700</v>
      </c>
      <c r="M35" s="596">
        <f t="shared" si="3"/>
        <v>1184700</v>
      </c>
    </row>
    <row r="36" spans="1:13" ht="12.75">
      <c r="A36" s="595">
        <v>808</v>
      </c>
      <c r="B36" s="605" t="s">
        <v>842</v>
      </c>
      <c r="C36" s="605" t="str">
        <f>C34</f>
        <v>0230100110</v>
      </c>
      <c r="D36" s="595">
        <v>244</v>
      </c>
      <c r="E36" s="595">
        <v>226</v>
      </c>
      <c r="F36" s="413" t="s">
        <v>198</v>
      </c>
      <c r="G36" s="606">
        <f t="shared" si="2"/>
        <v>63300</v>
      </c>
      <c r="H36" s="596">
        <v>13900</v>
      </c>
      <c r="I36" s="596">
        <v>35000</v>
      </c>
      <c r="J36" s="596">
        <v>14400</v>
      </c>
      <c r="K36" s="596">
        <v>0</v>
      </c>
      <c r="L36" s="596">
        <v>63300</v>
      </c>
      <c r="M36" s="596">
        <f t="shared" si="3"/>
        <v>63300</v>
      </c>
    </row>
    <row r="37" spans="1:13" ht="12.75">
      <c r="A37" s="595">
        <v>808</v>
      </c>
      <c r="B37" s="605" t="s">
        <v>204</v>
      </c>
      <c r="C37" s="605" t="str">
        <f>C35</f>
        <v>0230100110</v>
      </c>
      <c r="D37" s="595">
        <v>244</v>
      </c>
      <c r="E37" s="595">
        <v>226</v>
      </c>
      <c r="F37" s="413" t="s">
        <v>198</v>
      </c>
      <c r="G37" s="606">
        <f t="shared" si="2"/>
        <v>1454400</v>
      </c>
      <c r="H37" s="596">
        <v>296550</v>
      </c>
      <c r="I37" s="596">
        <v>515050</v>
      </c>
      <c r="J37" s="596">
        <v>396050</v>
      </c>
      <c r="K37" s="596">
        <v>246750</v>
      </c>
      <c r="L37" s="596">
        <v>1454400</v>
      </c>
      <c r="M37" s="596">
        <f t="shared" si="3"/>
        <v>1454400</v>
      </c>
    </row>
    <row r="38" spans="1:13" ht="12.75">
      <c r="A38" s="595">
        <v>808</v>
      </c>
      <c r="B38" s="605" t="s">
        <v>204</v>
      </c>
      <c r="C38" s="605" t="str">
        <f>C36</f>
        <v>0230100110</v>
      </c>
      <c r="D38" s="595">
        <v>244</v>
      </c>
      <c r="E38" s="595">
        <v>229</v>
      </c>
      <c r="F38" s="413" t="s">
        <v>198</v>
      </c>
      <c r="G38" s="606">
        <f t="shared" si="2"/>
        <v>54650</v>
      </c>
      <c r="H38" s="596">
        <v>54650</v>
      </c>
      <c r="I38" s="596">
        <v>0</v>
      </c>
      <c r="J38" s="596">
        <v>0</v>
      </c>
      <c r="K38" s="596">
        <v>0</v>
      </c>
      <c r="L38" s="596">
        <v>193400</v>
      </c>
      <c r="M38" s="596">
        <f t="shared" si="3"/>
        <v>193400</v>
      </c>
    </row>
    <row r="39" spans="1:13" ht="12.75">
      <c r="A39" s="595">
        <v>808</v>
      </c>
      <c r="B39" s="605" t="s">
        <v>204</v>
      </c>
      <c r="C39" s="605" t="str">
        <f>C36</f>
        <v>0230100110</v>
      </c>
      <c r="D39" s="595">
        <v>244</v>
      </c>
      <c r="E39" s="595">
        <v>343</v>
      </c>
      <c r="F39" s="413" t="s">
        <v>198</v>
      </c>
      <c r="G39" s="606">
        <f>SUM(H39:K39)</f>
        <v>81700</v>
      </c>
      <c r="H39" s="596">
        <v>21100</v>
      </c>
      <c r="I39" s="596">
        <v>21100</v>
      </c>
      <c r="J39" s="596">
        <v>21000</v>
      </c>
      <c r="K39" s="596">
        <v>18500</v>
      </c>
      <c r="L39" s="596">
        <v>81700</v>
      </c>
      <c r="M39" s="596">
        <f>L39</f>
        <v>81700</v>
      </c>
    </row>
    <row r="40" spans="1:13" ht="12.75">
      <c r="A40" s="595">
        <v>808</v>
      </c>
      <c r="B40" s="605" t="s">
        <v>204</v>
      </c>
      <c r="C40" s="605" t="str">
        <f>C37</f>
        <v>0230100110</v>
      </c>
      <c r="D40" s="595">
        <v>244</v>
      </c>
      <c r="E40" s="595">
        <v>346</v>
      </c>
      <c r="F40" s="413" t="s">
        <v>198</v>
      </c>
      <c r="G40" s="606">
        <f>SUM(H40:K40)</f>
        <v>400000</v>
      </c>
      <c r="H40" s="596">
        <v>92700</v>
      </c>
      <c r="I40" s="596">
        <v>114100</v>
      </c>
      <c r="J40" s="596">
        <v>99100</v>
      </c>
      <c r="K40" s="596">
        <v>94100</v>
      </c>
      <c r="L40" s="596">
        <v>400000</v>
      </c>
      <c r="M40" s="596">
        <f>L40</f>
        <v>400000</v>
      </c>
    </row>
    <row r="41" spans="1:13" ht="12.75">
      <c r="A41" s="595">
        <v>808</v>
      </c>
      <c r="B41" s="605" t="s">
        <v>204</v>
      </c>
      <c r="C41" s="605" t="str">
        <f>C39</f>
        <v>0230100110</v>
      </c>
      <c r="D41" s="595">
        <v>244</v>
      </c>
      <c r="E41" s="595">
        <v>349</v>
      </c>
      <c r="F41" s="413" t="s">
        <v>198</v>
      </c>
      <c r="G41" s="606">
        <f t="shared" si="2"/>
        <v>68000</v>
      </c>
      <c r="H41" s="596">
        <v>2000</v>
      </c>
      <c r="I41" s="596">
        <v>34000</v>
      </c>
      <c r="J41" s="596">
        <v>0</v>
      </c>
      <c r="K41" s="596">
        <v>32000</v>
      </c>
      <c r="L41" s="596">
        <v>68000</v>
      </c>
      <c r="M41" s="596">
        <f t="shared" si="3"/>
        <v>68000</v>
      </c>
    </row>
    <row r="42" spans="1:13" ht="12.75" hidden="1">
      <c r="A42" s="595">
        <v>808</v>
      </c>
      <c r="B42" s="605" t="s">
        <v>204</v>
      </c>
      <c r="C42" s="605" t="str">
        <f t="shared" si="4"/>
        <v>0230100110</v>
      </c>
      <c r="D42" s="595">
        <v>244</v>
      </c>
      <c r="E42" s="595">
        <v>310</v>
      </c>
      <c r="F42" s="413" t="s">
        <v>198</v>
      </c>
      <c r="G42" s="606">
        <f t="shared" si="2"/>
        <v>0</v>
      </c>
      <c r="H42" s="596">
        <v>0</v>
      </c>
      <c r="I42" s="596">
        <v>0</v>
      </c>
      <c r="J42" s="596">
        <v>0</v>
      </c>
      <c r="K42" s="596">
        <v>0</v>
      </c>
      <c r="L42" s="596">
        <f>G42</f>
        <v>0</v>
      </c>
      <c r="M42" s="596">
        <f t="shared" si="3"/>
        <v>0</v>
      </c>
    </row>
    <row r="43" spans="1:13" ht="12.75" hidden="1">
      <c r="A43" s="607">
        <v>808</v>
      </c>
      <c r="B43" s="608" t="s">
        <v>204</v>
      </c>
      <c r="C43" s="608" t="str">
        <f t="shared" si="4"/>
        <v>0230100110</v>
      </c>
      <c r="D43" s="607">
        <v>244</v>
      </c>
      <c r="E43" s="607">
        <v>310</v>
      </c>
      <c r="F43" s="591" t="s">
        <v>198</v>
      </c>
      <c r="G43" s="609">
        <f t="shared" si="2"/>
        <v>0</v>
      </c>
      <c r="H43" s="610"/>
      <c r="I43" s="610"/>
      <c r="J43" s="610"/>
      <c r="K43" s="610"/>
      <c r="L43" s="610"/>
      <c r="M43" s="610"/>
    </row>
    <row r="44" spans="1:14" s="617" customFormat="1" ht="12.75">
      <c r="A44" s="611"/>
      <c r="B44" s="612"/>
      <c r="C44" s="611"/>
      <c r="D44" s="611"/>
      <c r="E44" s="611"/>
      <c r="F44" s="613"/>
      <c r="G44" s="614"/>
      <c r="H44" s="614"/>
      <c r="I44" s="614"/>
      <c r="J44" s="614"/>
      <c r="K44" s="614"/>
      <c r="L44" s="614"/>
      <c r="M44" s="615"/>
      <c r="N44" s="616"/>
    </row>
    <row r="45" spans="1:13" ht="12.75" hidden="1">
      <c r="A45" s="618"/>
      <c r="B45" s="619"/>
      <c r="C45" s="618"/>
      <c r="D45" s="618"/>
      <c r="E45" s="620"/>
      <c r="F45" s="592"/>
      <c r="G45" s="621"/>
      <c r="H45" s="622"/>
      <c r="I45" s="622"/>
      <c r="J45" s="622"/>
      <c r="K45" s="622"/>
      <c r="L45" s="622"/>
      <c r="M45" s="622"/>
    </row>
    <row r="46" spans="1:13" ht="12.75" hidden="1">
      <c r="A46" s="602"/>
      <c r="B46" s="623"/>
      <c r="C46" s="602"/>
      <c r="D46" s="602"/>
      <c r="E46" s="624"/>
      <c r="F46" s="413"/>
      <c r="G46" s="625"/>
      <c r="H46" s="596"/>
      <c r="I46" s="596"/>
      <c r="J46" s="596"/>
      <c r="K46" s="596"/>
      <c r="L46" s="596"/>
      <c r="M46" s="596"/>
    </row>
    <row r="47" spans="1:13" ht="12.75" hidden="1">
      <c r="A47" s="602"/>
      <c r="B47" s="623"/>
      <c r="C47" s="602"/>
      <c r="D47" s="602"/>
      <c r="E47" s="624"/>
      <c r="F47" s="413"/>
      <c r="G47" s="625"/>
      <c r="H47" s="596"/>
      <c r="I47" s="596"/>
      <c r="J47" s="596"/>
      <c r="K47" s="596"/>
      <c r="L47" s="596"/>
      <c r="M47" s="596"/>
    </row>
    <row r="48" spans="1:13" ht="12.75" hidden="1">
      <c r="A48" s="602"/>
      <c r="B48" s="623"/>
      <c r="C48" s="602"/>
      <c r="D48" s="602"/>
      <c r="E48" s="624"/>
      <c r="F48" s="413"/>
      <c r="G48" s="625"/>
      <c r="H48" s="596"/>
      <c r="I48" s="596"/>
      <c r="J48" s="596"/>
      <c r="K48" s="596"/>
      <c r="L48" s="596"/>
      <c r="M48" s="596"/>
    </row>
    <row r="49" spans="1:13" ht="12.75" hidden="1">
      <c r="A49" s="602"/>
      <c r="B49" s="623"/>
      <c r="C49" s="602"/>
      <c r="D49" s="602"/>
      <c r="E49" s="624"/>
      <c r="F49" s="413"/>
      <c r="G49" s="625"/>
      <c r="H49" s="596"/>
      <c r="I49" s="596"/>
      <c r="J49" s="596"/>
      <c r="K49" s="596"/>
      <c r="L49" s="596"/>
      <c r="M49" s="596"/>
    </row>
    <row r="50" spans="1:13" ht="12.75" hidden="1">
      <c r="A50" s="602"/>
      <c r="B50" s="623"/>
      <c r="C50" s="602"/>
      <c r="D50" s="602"/>
      <c r="E50" s="624"/>
      <c r="F50" s="413"/>
      <c r="G50" s="625"/>
      <c r="H50" s="596"/>
      <c r="I50" s="596"/>
      <c r="J50" s="596"/>
      <c r="K50" s="596"/>
      <c r="L50" s="596"/>
      <c r="M50" s="596"/>
    </row>
    <row r="51" spans="1:13" ht="12.75" hidden="1">
      <c r="A51" s="602"/>
      <c r="B51" s="623"/>
      <c r="C51" s="602"/>
      <c r="D51" s="602"/>
      <c r="E51" s="624"/>
      <c r="F51" s="413"/>
      <c r="G51" s="625"/>
      <c r="H51" s="596"/>
      <c r="I51" s="596"/>
      <c r="J51" s="596"/>
      <c r="K51" s="596"/>
      <c r="L51" s="596"/>
      <c r="M51" s="596"/>
    </row>
    <row r="52" spans="1:13" ht="12.75" hidden="1">
      <c r="A52" s="602"/>
      <c r="B52" s="623"/>
      <c r="C52" s="602"/>
      <c r="D52" s="602"/>
      <c r="E52" s="624"/>
      <c r="F52" s="413"/>
      <c r="G52" s="625"/>
      <c r="H52" s="596"/>
      <c r="I52" s="596"/>
      <c r="J52" s="596"/>
      <c r="K52" s="596"/>
      <c r="L52" s="596"/>
      <c r="M52" s="596"/>
    </row>
    <row r="53" spans="1:13" ht="12.75" hidden="1">
      <c r="A53" s="602"/>
      <c r="B53" s="623"/>
      <c r="C53" s="602"/>
      <c r="D53" s="602"/>
      <c r="E53" s="624"/>
      <c r="F53" s="413"/>
      <c r="G53" s="625"/>
      <c r="H53" s="596"/>
      <c r="I53" s="596"/>
      <c r="J53" s="596"/>
      <c r="K53" s="596"/>
      <c r="L53" s="596"/>
      <c r="M53" s="596"/>
    </row>
    <row r="54" spans="1:13" ht="12.75" hidden="1">
      <c r="A54" s="602"/>
      <c r="B54" s="623"/>
      <c r="C54" s="602"/>
      <c r="D54" s="602"/>
      <c r="E54" s="624"/>
      <c r="F54" s="413"/>
      <c r="G54" s="625"/>
      <c r="H54" s="596"/>
      <c r="I54" s="596"/>
      <c r="J54" s="596"/>
      <c r="K54" s="596"/>
      <c r="L54" s="596"/>
      <c r="M54" s="596"/>
    </row>
    <row r="55" spans="1:13" ht="12.75" hidden="1">
      <c r="A55" s="602"/>
      <c r="B55" s="623"/>
      <c r="C55" s="602"/>
      <c r="D55" s="602"/>
      <c r="E55" s="624"/>
      <c r="F55" s="413"/>
      <c r="G55" s="625"/>
      <c r="H55" s="596"/>
      <c r="I55" s="596"/>
      <c r="J55" s="596"/>
      <c r="K55" s="596"/>
      <c r="L55" s="596"/>
      <c r="M55" s="596"/>
    </row>
    <row r="56" spans="1:13" ht="12.75" hidden="1">
      <c r="A56" s="602"/>
      <c r="B56" s="623"/>
      <c r="C56" s="602"/>
      <c r="D56" s="602"/>
      <c r="E56" s="624"/>
      <c r="F56" s="413"/>
      <c r="G56" s="625"/>
      <c r="H56" s="596"/>
      <c r="I56" s="596"/>
      <c r="J56" s="596"/>
      <c r="K56" s="596"/>
      <c r="L56" s="596"/>
      <c r="M56" s="596"/>
    </row>
    <row r="57" spans="1:13" ht="12.75" hidden="1">
      <c r="A57" s="602"/>
      <c r="B57" s="623"/>
      <c r="C57" s="602"/>
      <c r="D57" s="602"/>
      <c r="E57" s="624"/>
      <c r="F57" s="413"/>
      <c r="G57" s="625"/>
      <c r="H57" s="596"/>
      <c r="I57" s="596"/>
      <c r="J57" s="596"/>
      <c r="K57" s="596"/>
      <c r="L57" s="596"/>
      <c r="M57" s="596"/>
    </row>
    <row r="58" spans="1:13" ht="12.75" hidden="1">
      <c r="A58" s="602"/>
      <c r="B58" s="623"/>
      <c r="C58" s="602"/>
      <c r="D58" s="602"/>
      <c r="E58" s="624"/>
      <c r="F58" s="413"/>
      <c r="G58" s="625"/>
      <c r="H58" s="596"/>
      <c r="I58" s="596"/>
      <c r="J58" s="596"/>
      <c r="K58" s="596"/>
      <c r="L58" s="596"/>
      <c r="M58" s="596"/>
    </row>
    <row r="59" spans="1:13" ht="12.75" hidden="1">
      <c r="A59" s="602"/>
      <c r="B59" s="623"/>
      <c r="C59" s="602"/>
      <c r="D59" s="602"/>
      <c r="E59" s="624"/>
      <c r="F59" s="413"/>
      <c r="G59" s="625"/>
      <c r="H59" s="596"/>
      <c r="I59" s="596"/>
      <c r="J59" s="596"/>
      <c r="K59" s="596"/>
      <c r="L59" s="596"/>
      <c r="M59" s="596"/>
    </row>
    <row r="60" spans="1:13" ht="12.75" hidden="1">
      <c r="A60" s="602"/>
      <c r="B60" s="623"/>
      <c r="C60" s="602"/>
      <c r="D60" s="602"/>
      <c r="E60" s="624"/>
      <c r="F60" s="413"/>
      <c r="G60" s="625"/>
      <c r="H60" s="596"/>
      <c r="I60" s="596"/>
      <c r="J60" s="596"/>
      <c r="K60" s="596"/>
      <c r="L60" s="596"/>
      <c r="M60" s="596"/>
    </row>
    <row r="61" spans="1:13" ht="12.75" hidden="1">
      <c r="A61" s="602"/>
      <c r="B61" s="623"/>
      <c r="C61" s="602"/>
      <c r="D61" s="602"/>
      <c r="E61" s="624"/>
      <c r="F61" s="413"/>
      <c r="G61" s="625"/>
      <c r="H61" s="596"/>
      <c r="I61" s="596"/>
      <c r="J61" s="596"/>
      <c r="K61" s="596"/>
      <c r="L61" s="596"/>
      <c r="M61" s="596"/>
    </row>
    <row r="62" spans="1:13" ht="12.75" hidden="1">
      <c r="A62" s="602"/>
      <c r="B62" s="623"/>
      <c r="C62" s="602"/>
      <c r="D62" s="602"/>
      <c r="E62" s="624"/>
      <c r="F62" s="413"/>
      <c r="G62" s="596"/>
      <c r="H62" s="596"/>
      <c r="I62" s="596"/>
      <c r="J62" s="596"/>
      <c r="K62" s="596"/>
      <c r="L62" s="596"/>
      <c r="M62" s="596"/>
    </row>
    <row r="63" spans="1:13" ht="12.75" hidden="1">
      <c r="A63" s="922"/>
      <c r="B63" s="922"/>
      <c r="C63" s="922"/>
      <c r="D63" s="922"/>
      <c r="E63" s="923"/>
      <c r="F63" s="626"/>
      <c r="G63" s="601"/>
      <c r="H63" s="601"/>
      <c r="I63" s="601"/>
      <c r="J63" s="601"/>
      <c r="K63" s="601"/>
      <c r="L63" s="601"/>
      <c r="M63" s="601"/>
    </row>
    <row r="64" spans="1:13" ht="12.75" hidden="1">
      <c r="A64" s="896"/>
      <c r="B64" s="896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60"/>
    </row>
    <row r="65" spans="1:13" ht="12.75" hidden="1">
      <c r="A65" s="595"/>
      <c r="B65" s="605"/>
      <c r="C65" s="595"/>
      <c r="D65" s="595"/>
      <c r="E65" s="595"/>
      <c r="F65" s="627"/>
      <c r="G65" s="596"/>
      <c r="H65" s="596"/>
      <c r="I65" s="596"/>
      <c r="J65" s="596"/>
      <c r="K65" s="596"/>
      <c r="L65" s="596"/>
      <c r="M65" s="596"/>
    </row>
    <row r="66" spans="1:13" ht="12.75" hidden="1">
      <c r="A66" s="595"/>
      <c r="B66" s="605"/>
      <c r="C66" s="595"/>
      <c r="D66" s="595"/>
      <c r="E66" s="595"/>
      <c r="F66" s="627"/>
      <c r="G66" s="596"/>
      <c r="H66" s="596"/>
      <c r="I66" s="596"/>
      <c r="J66" s="596"/>
      <c r="K66" s="596"/>
      <c r="L66" s="596"/>
      <c r="M66" s="596"/>
    </row>
    <row r="67" spans="1:13" ht="12.75" hidden="1">
      <c r="A67" s="595"/>
      <c r="B67" s="605"/>
      <c r="C67" s="595"/>
      <c r="D67" s="595"/>
      <c r="E67" s="595"/>
      <c r="F67" s="627"/>
      <c r="G67" s="596"/>
      <c r="H67" s="596"/>
      <c r="I67" s="596"/>
      <c r="J67" s="596"/>
      <c r="K67" s="596"/>
      <c r="L67" s="596"/>
      <c r="M67" s="596"/>
    </row>
    <row r="68" spans="1:13" ht="12.75" hidden="1">
      <c r="A68" s="595"/>
      <c r="B68" s="605"/>
      <c r="C68" s="595"/>
      <c r="D68" s="595"/>
      <c r="E68" s="595"/>
      <c r="F68" s="627"/>
      <c r="G68" s="596"/>
      <c r="H68" s="596"/>
      <c r="I68" s="596"/>
      <c r="J68" s="596"/>
      <c r="K68" s="596"/>
      <c r="L68" s="596"/>
      <c r="M68" s="596"/>
    </row>
    <row r="69" spans="1:13" ht="12.75" hidden="1">
      <c r="A69" s="595"/>
      <c r="B69" s="605"/>
      <c r="C69" s="595"/>
      <c r="D69" s="595"/>
      <c r="E69" s="595"/>
      <c r="F69" s="627"/>
      <c r="G69" s="596"/>
      <c r="H69" s="596"/>
      <c r="I69" s="596"/>
      <c r="J69" s="596"/>
      <c r="K69" s="596"/>
      <c r="L69" s="596"/>
      <c r="M69" s="596"/>
    </row>
    <row r="70" spans="1:13" ht="12.75" hidden="1">
      <c r="A70" s="595"/>
      <c r="B70" s="605"/>
      <c r="C70" s="628"/>
      <c r="D70" s="595"/>
      <c r="E70" s="595"/>
      <c r="F70" s="627"/>
      <c r="G70" s="596"/>
      <c r="H70" s="596"/>
      <c r="I70" s="596"/>
      <c r="J70" s="596"/>
      <c r="K70" s="596"/>
      <c r="L70" s="596"/>
      <c r="M70" s="596"/>
    </row>
    <row r="71" spans="1:13" ht="12.75" hidden="1">
      <c r="A71" s="595"/>
      <c r="B71" s="605"/>
      <c r="C71" s="628"/>
      <c r="D71" s="595"/>
      <c r="E71" s="595"/>
      <c r="F71" s="627"/>
      <c r="G71" s="596"/>
      <c r="H71" s="596"/>
      <c r="I71" s="596"/>
      <c r="J71" s="596"/>
      <c r="K71" s="596"/>
      <c r="L71" s="596"/>
      <c r="M71" s="596"/>
    </row>
    <row r="72" spans="1:13" ht="21.75" customHeight="1" hidden="1">
      <c r="A72" s="924"/>
      <c r="B72" s="922"/>
      <c r="C72" s="922"/>
      <c r="D72" s="922"/>
      <c r="E72" s="923"/>
      <c r="F72" s="629"/>
      <c r="G72" s="601"/>
      <c r="H72" s="601"/>
      <c r="I72" s="601"/>
      <c r="J72" s="601"/>
      <c r="K72" s="601"/>
      <c r="L72" s="601"/>
      <c r="M72" s="601"/>
    </row>
    <row r="73" spans="1:13" ht="12.75" hidden="1">
      <c r="A73" s="896"/>
      <c r="B73" s="896"/>
      <c r="C73" s="896"/>
      <c r="D73" s="896"/>
      <c r="E73" s="896"/>
      <c r="F73" s="896"/>
      <c r="G73" s="896"/>
      <c r="H73" s="896"/>
      <c r="I73" s="896"/>
      <c r="J73" s="896"/>
      <c r="K73" s="896"/>
      <c r="L73" s="896"/>
      <c r="M73" s="860"/>
    </row>
    <row r="74" spans="1:13" ht="12.75">
      <c r="A74" s="630">
        <v>808</v>
      </c>
      <c r="B74" s="631" t="s">
        <v>204</v>
      </c>
      <c r="C74" s="631" t="s">
        <v>900</v>
      </c>
      <c r="D74" s="630">
        <v>244</v>
      </c>
      <c r="E74" s="630">
        <v>310</v>
      </c>
      <c r="F74" s="632" t="s">
        <v>198</v>
      </c>
      <c r="G74" s="594">
        <f>H74+I74+J74+K74</f>
        <v>97000</v>
      </c>
      <c r="H74" s="594">
        <v>21900</v>
      </c>
      <c r="I74" s="594">
        <v>30000</v>
      </c>
      <c r="J74" s="594">
        <v>37000</v>
      </c>
      <c r="K74" s="594">
        <v>8100</v>
      </c>
      <c r="L74" s="594">
        <v>97000</v>
      </c>
      <c r="M74" s="594">
        <v>97000</v>
      </c>
    </row>
    <row r="75" spans="1:13" ht="12.75" hidden="1">
      <c r="A75" s="922" t="s">
        <v>219</v>
      </c>
      <c r="B75" s="922"/>
      <c r="C75" s="922"/>
      <c r="D75" s="922"/>
      <c r="E75" s="923"/>
      <c r="F75" s="626" t="s">
        <v>205</v>
      </c>
      <c r="G75" s="601">
        <f aca="true" t="shared" si="5" ref="G75:M75">SUM(G76:G81)</f>
        <v>0</v>
      </c>
      <c r="H75" s="601">
        <f t="shared" si="5"/>
        <v>0</v>
      </c>
      <c r="I75" s="601">
        <f t="shared" si="5"/>
        <v>0</v>
      </c>
      <c r="J75" s="601">
        <f t="shared" si="5"/>
        <v>0</v>
      </c>
      <c r="K75" s="601">
        <f t="shared" si="5"/>
        <v>0</v>
      </c>
      <c r="L75" s="601">
        <f t="shared" si="5"/>
        <v>0</v>
      </c>
      <c r="M75" s="601">
        <f t="shared" si="5"/>
        <v>0</v>
      </c>
    </row>
    <row r="76" spans="1:13" ht="12.75" hidden="1">
      <c r="A76" s="595">
        <v>808</v>
      </c>
      <c r="B76" s="605" t="s">
        <v>204</v>
      </c>
      <c r="C76" s="595">
        <v>220100000</v>
      </c>
      <c r="D76" s="595">
        <v>112</v>
      </c>
      <c r="E76" s="595">
        <v>212</v>
      </c>
      <c r="F76" s="627" t="s">
        <v>205</v>
      </c>
      <c r="G76" s="596">
        <f>H76+I76+J76+K76</f>
        <v>0</v>
      </c>
      <c r="H76" s="596">
        <f>'[1]прил 3_2017'!R34</f>
        <v>0</v>
      </c>
      <c r="I76" s="596">
        <f>'[1]прил 3_2017'!Z34</f>
        <v>0</v>
      </c>
      <c r="J76" s="596">
        <f>'[1]прил 3_2017'!AH34</f>
        <v>0</v>
      </c>
      <c r="K76" s="596">
        <f>'[1]прил 3_2017'!AP34</f>
        <v>0</v>
      </c>
      <c r="L76" s="596">
        <f>G76</f>
        <v>0</v>
      </c>
      <c r="M76" s="596">
        <f>G76</f>
        <v>0</v>
      </c>
    </row>
    <row r="77" spans="1:13" ht="12.75" hidden="1">
      <c r="A77" s="595">
        <v>808</v>
      </c>
      <c r="B77" s="605" t="s">
        <v>204</v>
      </c>
      <c r="C77" s="595">
        <v>220100000</v>
      </c>
      <c r="D77" s="595">
        <v>244</v>
      </c>
      <c r="E77" s="595">
        <v>222</v>
      </c>
      <c r="F77" s="627" t="s">
        <v>205</v>
      </c>
      <c r="G77" s="596">
        <f>H77+I77+J77+K77</f>
        <v>0</v>
      </c>
      <c r="H77" s="596">
        <f>'[1]прил 3_2017'!R51</f>
        <v>0</v>
      </c>
      <c r="I77" s="596">
        <f>'[1]прил 3_2017'!Z51</f>
        <v>0</v>
      </c>
      <c r="J77" s="596">
        <f>'[1]прил 3_2017'!AH51</f>
        <v>0</v>
      </c>
      <c r="K77" s="596">
        <f>'[1]прил 3_2017'!AP51</f>
        <v>0</v>
      </c>
      <c r="L77" s="596">
        <f>G77</f>
        <v>0</v>
      </c>
      <c r="M77" s="596">
        <f>G77</f>
        <v>0</v>
      </c>
    </row>
    <row r="78" spans="1:13" ht="12.75" hidden="1">
      <c r="A78" s="595">
        <v>808</v>
      </c>
      <c r="B78" s="605" t="s">
        <v>204</v>
      </c>
      <c r="C78" s="595">
        <v>220100000</v>
      </c>
      <c r="D78" s="595">
        <v>244</v>
      </c>
      <c r="E78" s="595">
        <v>225</v>
      </c>
      <c r="F78" s="627" t="s">
        <v>205</v>
      </c>
      <c r="G78" s="596">
        <f>H78+I78+J78+K78</f>
        <v>0</v>
      </c>
      <c r="H78" s="596">
        <f>'[1]прил 3_2017'!R57</f>
        <v>0</v>
      </c>
      <c r="I78" s="596">
        <f>'[1]прил 3_2017'!Z57</f>
        <v>0</v>
      </c>
      <c r="J78" s="596">
        <f>'[1]прил 3_2017'!AH57</f>
        <v>0</v>
      </c>
      <c r="K78" s="596">
        <f>'[1]прил 3_2017'!AP57</f>
        <v>0</v>
      </c>
      <c r="L78" s="596">
        <f>G78</f>
        <v>0</v>
      </c>
      <c r="M78" s="596">
        <f>G78</f>
        <v>0</v>
      </c>
    </row>
    <row r="79" spans="1:13" ht="12.75" hidden="1">
      <c r="A79" s="595">
        <v>808</v>
      </c>
      <c r="B79" s="605" t="s">
        <v>204</v>
      </c>
      <c r="C79" s="595">
        <v>220100000</v>
      </c>
      <c r="D79" s="595">
        <v>244</v>
      </c>
      <c r="E79" s="595">
        <v>290</v>
      </c>
      <c r="F79" s="627" t="s">
        <v>205</v>
      </c>
      <c r="G79" s="596">
        <f>H79+I79+J79+K79</f>
        <v>0</v>
      </c>
      <c r="H79" s="596">
        <f>'[1]прил 3_2017'!R70</f>
        <v>0</v>
      </c>
      <c r="I79" s="596">
        <f>'[1]прил 3_2017'!Z88</f>
        <v>0</v>
      </c>
      <c r="J79" s="596">
        <f>'[1]прил 3_2017'!AH88</f>
        <v>0</v>
      </c>
      <c r="K79" s="596">
        <f>'[1]прил 3_2017'!AP88</f>
        <v>0</v>
      </c>
      <c r="L79" s="596">
        <f>G79</f>
        <v>0</v>
      </c>
      <c r="M79" s="596">
        <f>G79</f>
        <v>0</v>
      </c>
    </row>
    <row r="80" spans="1:13" ht="12.75" hidden="1">
      <c r="A80" s="595">
        <v>808</v>
      </c>
      <c r="B80" s="605" t="s">
        <v>204</v>
      </c>
      <c r="C80" s="628">
        <v>220700000</v>
      </c>
      <c r="D80" s="595">
        <v>244</v>
      </c>
      <c r="E80" s="595">
        <v>310</v>
      </c>
      <c r="F80" s="627" t="s">
        <v>205</v>
      </c>
      <c r="G80" s="596">
        <f>H80+I80+J80+K80</f>
        <v>0</v>
      </c>
      <c r="H80" s="596">
        <f>'[1]прил 3_2017'!R90</f>
        <v>0</v>
      </c>
      <c r="I80" s="596">
        <f>'[1]прил 3_2017'!Z90</f>
        <v>0</v>
      </c>
      <c r="J80" s="596">
        <f>'[1]прил 3_2017'!AH90</f>
        <v>0</v>
      </c>
      <c r="K80" s="596">
        <f>'[1]прил 3_2017'!AP90</f>
        <v>0</v>
      </c>
      <c r="L80" s="596">
        <f>G80</f>
        <v>0</v>
      </c>
      <c r="M80" s="596">
        <f>G80</f>
        <v>0</v>
      </c>
    </row>
    <row r="81" spans="1:13" ht="12.75" hidden="1">
      <c r="A81" s="595">
        <v>808</v>
      </c>
      <c r="B81" s="605" t="s">
        <v>204</v>
      </c>
      <c r="C81" s="628">
        <v>220700000</v>
      </c>
      <c r="D81" s="595">
        <v>244</v>
      </c>
      <c r="E81" s="595">
        <v>340</v>
      </c>
      <c r="F81" s="627" t="s">
        <v>205</v>
      </c>
      <c r="G81" s="596"/>
      <c r="H81" s="596"/>
      <c r="I81" s="596"/>
      <c r="J81" s="596"/>
      <c r="K81" s="596"/>
      <c r="L81" s="596"/>
      <c r="M81" s="596">
        <v>0</v>
      </c>
    </row>
    <row r="82" spans="1:13" ht="21.75" customHeight="1">
      <c r="A82" s="924" t="s">
        <v>78</v>
      </c>
      <c r="B82" s="922"/>
      <c r="C82" s="922"/>
      <c r="D82" s="922"/>
      <c r="E82" s="923"/>
      <c r="F82" s="629"/>
      <c r="G82" s="601">
        <f>SUM(H82:K82)</f>
        <v>12302526.67</v>
      </c>
      <c r="H82" s="601">
        <f aca="true" t="shared" si="6" ref="H82:M82">H18+H74</f>
        <v>3625539.67</v>
      </c>
      <c r="I82" s="601">
        <f t="shared" si="6"/>
        <v>3404912</v>
      </c>
      <c r="J82" s="601">
        <f t="shared" si="6"/>
        <v>2917113</v>
      </c>
      <c r="K82" s="601">
        <f t="shared" si="6"/>
        <v>2354962</v>
      </c>
      <c r="L82" s="601">
        <f t="shared" si="6"/>
        <v>12441250</v>
      </c>
      <c r="M82" s="601">
        <f t="shared" si="6"/>
        <v>12441250</v>
      </c>
    </row>
  </sheetData>
  <sheetProtection selectLockedCells="1" selectUnlockedCells="1"/>
  <mergeCells count="27">
    <mergeCell ref="A75:E75"/>
    <mergeCell ref="A18:E18"/>
    <mergeCell ref="A82:E82"/>
    <mergeCell ref="G6:M6"/>
    <mergeCell ref="G7:G8"/>
    <mergeCell ref="A63:E63"/>
    <mergeCell ref="A64:M64"/>
    <mergeCell ref="A72:E72"/>
    <mergeCell ref="A73:M73"/>
    <mergeCell ref="A13:F13"/>
    <mergeCell ref="A17:E17"/>
    <mergeCell ref="C6:C8"/>
    <mergeCell ref="D6:D8"/>
    <mergeCell ref="H7:K7"/>
    <mergeCell ref="L7:L8"/>
    <mergeCell ref="A14:E14"/>
    <mergeCell ref="A15:E15"/>
    <mergeCell ref="A16:F16"/>
    <mergeCell ref="M7:M8"/>
    <mergeCell ref="A9:F9"/>
    <mergeCell ref="A11:E11"/>
    <mergeCell ref="E6:E8"/>
    <mergeCell ref="F6:F8"/>
    <mergeCell ref="A12:E12"/>
    <mergeCell ref="A10:E10"/>
    <mergeCell ref="A6:A8"/>
    <mergeCell ref="B6:B8"/>
  </mergeCells>
  <printOptions/>
  <pageMargins left="0.7086614173228347" right="0.7086614173228347" top="0.35433070866141736" bottom="0.35433070866141736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zoomScalePageLayoutView="0" workbookViewId="0" topLeftCell="A1">
      <selection activeCell="L26" sqref="L26"/>
    </sheetView>
  </sheetViews>
  <sheetFormatPr defaultColWidth="9.140625" defaultRowHeight="15" customHeight="1"/>
  <cols>
    <col min="1" max="1" width="5.421875" style="1" customWidth="1"/>
    <col min="2" max="2" width="42.8515625" style="1" customWidth="1"/>
    <col min="3" max="3" width="11.8515625" style="1" customWidth="1"/>
    <col min="4" max="4" width="17.57421875" style="1" customWidth="1"/>
    <col min="5" max="5" width="20.00390625" style="1" customWidth="1"/>
    <col min="6" max="6" width="18.140625" style="1" customWidth="1"/>
    <col min="7" max="7" width="17.00390625" style="1" customWidth="1"/>
    <col min="8" max="16384" width="9.140625" style="1" customWidth="1"/>
  </cols>
  <sheetData>
    <row r="1" ht="15" customHeight="1">
      <c r="G1" s="1" t="s">
        <v>74</v>
      </c>
    </row>
    <row r="2" spans="6:7" ht="87" customHeight="1">
      <c r="F2" s="928" t="s">
        <v>114</v>
      </c>
      <c r="G2" s="928"/>
    </row>
    <row r="4" spans="1:8" ht="15.75" customHeight="1">
      <c r="A4" s="804" t="s">
        <v>115</v>
      </c>
      <c r="B4" s="804"/>
      <c r="C4" s="804"/>
      <c r="D4" s="804"/>
      <c r="E4" s="804"/>
      <c r="F4" s="804"/>
      <c r="G4" s="804"/>
      <c r="H4" s="122"/>
    </row>
    <row r="5" spans="1:8" ht="15.75" customHeight="1">
      <c r="A5" s="804" t="s">
        <v>116</v>
      </c>
      <c r="B5" s="804"/>
      <c r="C5" s="804"/>
      <c r="D5" s="804"/>
      <c r="E5" s="804"/>
      <c r="F5" s="804"/>
      <c r="G5" s="804"/>
      <c r="H5" s="122"/>
    </row>
    <row r="6" spans="1:8" ht="10.5" customHeight="1">
      <c r="A6" s="123"/>
      <c r="B6" s="123"/>
      <c r="C6" s="123"/>
      <c r="D6" s="123"/>
      <c r="E6" s="929" t="s">
        <v>117</v>
      </c>
      <c r="F6" s="929"/>
      <c r="G6" s="123"/>
      <c r="H6" s="122"/>
    </row>
    <row r="7" spans="1:8" ht="15.75" customHeight="1">
      <c r="A7" s="804" t="s">
        <v>118</v>
      </c>
      <c r="B7" s="804"/>
      <c r="C7" s="804"/>
      <c r="D7" s="804"/>
      <c r="E7" s="804"/>
      <c r="F7" s="804"/>
      <c r="G7" s="804"/>
      <c r="H7" s="122"/>
    </row>
    <row r="8" spans="1:8" ht="15.75" customHeight="1">
      <c r="A8" s="123"/>
      <c r="B8" s="123"/>
      <c r="C8" s="123"/>
      <c r="D8" s="123"/>
      <c r="E8" s="123"/>
      <c r="F8" s="123"/>
      <c r="G8" s="123"/>
      <c r="H8" s="122"/>
    </row>
    <row r="9" spans="1:8" s="125" customFormat="1" ht="30.75" customHeight="1">
      <c r="A9" s="792" t="s">
        <v>496</v>
      </c>
      <c r="B9" s="792" t="s">
        <v>119</v>
      </c>
      <c r="C9" s="792" t="s">
        <v>120</v>
      </c>
      <c r="D9" s="792" t="s">
        <v>121</v>
      </c>
      <c r="E9" s="792"/>
      <c r="F9" s="792"/>
      <c r="G9" s="792" t="s">
        <v>122</v>
      </c>
      <c r="H9" s="124"/>
    </row>
    <row r="10" spans="1:8" s="125" customFormat="1" ht="31.5" customHeight="1">
      <c r="A10" s="792"/>
      <c r="B10" s="792"/>
      <c r="C10" s="792"/>
      <c r="D10" s="7" t="s">
        <v>373</v>
      </c>
      <c r="E10" s="7" t="s">
        <v>123</v>
      </c>
      <c r="F10" s="7" t="s">
        <v>124</v>
      </c>
      <c r="G10" s="792"/>
      <c r="H10" s="124"/>
    </row>
    <row r="11" spans="1:8" ht="15" customHeight="1">
      <c r="A11" s="126" t="s">
        <v>125</v>
      </c>
      <c r="B11" s="126" t="s">
        <v>126</v>
      </c>
      <c r="C11" s="126">
        <v>1</v>
      </c>
      <c r="D11" s="126">
        <v>2</v>
      </c>
      <c r="E11" s="126">
        <v>3</v>
      </c>
      <c r="F11" s="126">
        <v>4</v>
      </c>
      <c r="G11" s="126">
        <v>5</v>
      </c>
      <c r="H11" s="127"/>
    </row>
    <row r="12" spans="1:8" ht="15" customHeight="1">
      <c r="A12" s="128"/>
      <c r="B12" s="129" t="s">
        <v>127</v>
      </c>
      <c r="C12" s="126"/>
      <c r="D12" s="126"/>
      <c r="E12" s="126"/>
      <c r="F12" s="126"/>
      <c r="G12" s="126"/>
      <c r="H12" s="127"/>
    </row>
    <row r="13" spans="1:8" ht="15" customHeight="1">
      <c r="A13" s="128"/>
      <c r="B13" s="129" t="s">
        <v>343</v>
      </c>
      <c r="C13" s="126"/>
      <c r="D13" s="126"/>
      <c r="E13" s="126"/>
      <c r="F13" s="126"/>
      <c r="G13" s="126"/>
      <c r="H13" s="127"/>
    </row>
    <row r="14" spans="1:8" ht="26.25" customHeight="1">
      <c r="A14" s="128">
        <v>1</v>
      </c>
      <c r="B14" s="130" t="s">
        <v>128</v>
      </c>
      <c r="C14" s="126"/>
      <c r="D14" s="126"/>
      <c r="E14" s="126"/>
      <c r="F14" s="126"/>
      <c r="G14" s="126"/>
      <c r="H14" s="127"/>
    </row>
    <row r="15" spans="1:8" ht="15" customHeight="1">
      <c r="A15" s="128"/>
      <c r="B15" s="129" t="s">
        <v>343</v>
      </c>
      <c r="C15" s="126"/>
      <c r="D15" s="126"/>
      <c r="E15" s="126"/>
      <c r="F15" s="126"/>
      <c r="G15" s="126"/>
      <c r="H15" s="127"/>
    </row>
    <row r="16" spans="1:8" ht="39" customHeight="1">
      <c r="A16" s="128" t="s">
        <v>378</v>
      </c>
      <c r="B16" s="130" t="s">
        <v>129</v>
      </c>
      <c r="C16" s="126"/>
      <c r="D16" s="126"/>
      <c r="E16" s="126"/>
      <c r="F16" s="126"/>
      <c r="G16" s="126" t="s">
        <v>530</v>
      </c>
      <c r="H16" s="127"/>
    </row>
    <row r="17" spans="1:8" ht="29.25" customHeight="1">
      <c r="A17" s="128" t="s">
        <v>380</v>
      </c>
      <c r="B17" s="130" t="s">
        <v>130</v>
      </c>
      <c r="C17" s="126"/>
      <c r="D17" s="126"/>
      <c r="E17" s="126"/>
      <c r="F17" s="126"/>
      <c r="G17" s="126" t="s">
        <v>530</v>
      </c>
      <c r="H17" s="127"/>
    </row>
    <row r="18" spans="1:8" ht="15" customHeight="1">
      <c r="A18" s="128"/>
      <c r="B18" s="129" t="s">
        <v>343</v>
      </c>
      <c r="C18" s="126"/>
      <c r="D18" s="126"/>
      <c r="E18" s="126"/>
      <c r="F18" s="126"/>
      <c r="G18" s="126"/>
      <c r="H18" s="127"/>
    </row>
    <row r="19" spans="1:8" ht="15" customHeight="1">
      <c r="A19" s="128"/>
      <c r="B19" s="130" t="s">
        <v>131</v>
      </c>
      <c r="C19" s="126"/>
      <c r="D19" s="126"/>
      <c r="E19" s="126"/>
      <c r="F19" s="126"/>
      <c r="G19" s="126" t="s">
        <v>530</v>
      </c>
      <c r="H19" s="127"/>
    </row>
    <row r="20" spans="1:8" ht="15" customHeight="1">
      <c r="A20" s="128"/>
      <c r="B20" s="130" t="s">
        <v>131</v>
      </c>
      <c r="C20" s="126"/>
      <c r="D20" s="126"/>
      <c r="E20" s="126"/>
      <c r="F20" s="126"/>
      <c r="G20" s="126" t="s">
        <v>530</v>
      </c>
      <c r="H20" s="127"/>
    </row>
    <row r="21" spans="1:8" ht="15" customHeight="1">
      <c r="A21" s="128"/>
      <c r="B21" s="130" t="s">
        <v>131</v>
      </c>
      <c r="C21" s="126"/>
      <c r="D21" s="126"/>
      <c r="E21" s="126"/>
      <c r="F21" s="126"/>
      <c r="G21" s="126" t="s">
        <v>530</v>
      </c>
      <c r="H21" s="127"/>
    </row>
    <row r="22" spans="1:8" ht="15" customHeight="1">
      <c r="A22" s="128" t="s">
        <v>382</v>
      </c>
      <c r="B22" s="130" t="s">
        <v>132</v>
      </c>
      <c r="C22" s="126"/>
      <c r="D22" s="126"/>
      <c r="E22" s="126"/>
      <c r="F22" s="126"/>
      <c r="G22" s="126"/>
      <c r="H22" s="127"/>
    </row>
    <row r="23" spans="1:8" ht="15" customHeight="1">
      <c r="A23" s="128"/>
      <c r="B23" s="130" t="s">
        <v>131</v>
      </c>
      <c r="C23" s="126"/>
      <c r="D23" s="126"/>
      <c r="E23" s="126"/>
      <c r="F23" s="126"/>
      <c r="G23" s="126" t="s">
        <v>530</v>
      </c>
      <c r="H23" s="127"/>
    </row>
    <row r="24" spans="1:8" ht="15" customHeight="1">
      <c r="A24" s="128"/>
      <c r="B24" s="130" t="s">
        <v>131</v>
      </c>
      <c r="C24" s="126"/>
      <c r="D24" s="126"/>
      <c r="E24" s="126"/>
      <c r="F24" s="126"/>
      <c r="G24" s="126" t="s">
        <v>530</v>
      </c>
      <c r="H24" s="127"/>
    </row>
    <row r="25" spans="1:8" ht="15" customHeight="1">
      <c r="A25" s="128"/>
      <c r="B25" s="130" t="s">
        <v>131</v>
      </c>
      <c r="C25" s="126"/>
      <c r="D25" s="126"/>
      <c r="E25" s="126"/>
      <c r="F25" s="126"/>
      <c r="G25" s="126" t="s">
        <v>530</v>
      </c>
      <c r="H25" s="127"/>
    </row>
    <row r="26" spans="1:8" ht="15" customHeight="1">
      <c r="A26" s="128" t="s">
        <v>398</v>
      </c>
      <c r="B26" s="130" t="s">
        <v>133</v>
      </c>
      <c r="C26" s="126"/>
      <c r="D26" s="126"/>
      <c r="E26" s="126"/>
      <c r="F26" s="126"/>
      <c r="G26" s="126"/>
      <c r="H26" s="127"/>
    </row>
    <row r="27" spans="1:8" ht="15" customHeight="1">
      <c r="A27" s="128"/>
      <c r="B27" s="130" t="s">
        <v>131</v>
      </c>
      <c r="C27" s="126"/>
      <c r="D27" s="126"/>
      <c r="E27" s="126"/>
      <c r="F27" s="126"/>
      <c r="G27" s="126" t="s">
        <v>530</v>
      </c>
      <c r="H27" s="127"/>
    </row>
    <row r="28" spans="1:8" ht="15" customHeight="1">
      <c r="A28" s="128"/>
      <c r="B28" s="130" t="s">
        <v>131</v>
      </c>
      <c r="C28" s="126"/>
      <c r="D28" s="126"/>
      <c r="E28" s="126"/>
      <c r="F28" s="126"/>
      <c r="G28" s="126" t="s">
        <v>530</v>
      </c>
      <c r="H28" s="127"/>
    </row>
    <row r="29" spans="1:8" ht="15" customHeight="1">
      <c r="A29" s="128"/>
      <c r="B29" s="130" t="s">
        <v>131</v>
      </c>
      <c r="C29" s="126"/>
      <c r="D29" s="126"/>
      <c r="E29" s="126"/>
      <c r="F29" s="126"/>
      <c r="G29" s="126" t="s">
        <v>530</v>
      </c>
      <c r="H29" s="127"/>
    </row>
    <row r="30" spans="1:8" ht="15" customHeight="1">
      <c r="A30" s="131"/>
      <c r="B30" s="132"/>
      <c r="C30" s="133"/>
      <c r="D30" s="133"/>
      <c r="E30" s="133"/>
      <c r="F30" s="133"/>
      <c r="G30" s="133"/>
      <c r="H30" s="127"/>
    </row>
    <row r="31" spans="1:8" ht="15" customHeight="1">
      <c r="A31" s="131"/>
      <c r="B31" s="132"/>
      <c r="C31" s="133"/>
      <c r="D31" s="133"/>
      <c r="E31" s="133"/>
      <c r="F31" s="133"/>
      <c r="G31" s="133"/>
      <c r="H31" s="127"/>
    </row>
    <row r="32" spans="1:8" ht="15" customHeight="1">
      <c r="A32" s="134" t="s">
        <v>135</v>
      </c>
      <c r="B32" s="132"/>
      <c r="C32" s="133"/>
      <c r="D32" s="133"/>
      <c r="E32" s="133"/>
      <c r="F32" s="133"/>
      <c r="G32" s="133"/>
      <c r="H32" s="127"/>
    </row>
    <row r="33" spans="1:8" ht="15" customHeight="1">
      <c r="A33" s="134" t="s">
        <v>136</v>
      </c>
      <c r="B33" s="132"/>
      <c r="C33" s="133"/>
      <c r="D33" s="133"/>
      <c r="E33" s="133"/>
      <c r="F33" s="133"/>
      <c r="G33" s="133"/>
      <c r="H33" s="127"/>
    </row>
    <row r="34" spans="1:8" ht="15" customHeight="1">
      <c r="A34" s="134" t="s">
        <v>137</v>
      </c>
      <c r="B34" s="132"/>
      <c r="C34" s="133"/>
      <c r="D34" s="133"/>
      <c r="E34" s="133"/>
      <c r="F34" s="133"/>
      <c r="G34" s="133"/>
      <c r="H34" s="127"/>
    </row>
    <row r="35" spans="1:8" ht="15" customHeight="1">
      <c r="A35" s="131"/>
      <c r="B35" s="132"/>
      <c r="C35" s="133"/>
      <c r="D35" s="133"/>
      <c r="E35" s="133"/>
      <c r="F35" s="133"/>
      <c r="G35" s="133"/>
      <c r="H35" s="127"/>
    </row>
    <row r="36" spans="1:8" ht="15" customHeight="1">
      <c r="A36" s="131"/>
      <c r="B36" s="132"/>
      <c r="C36" s="133"/>
      <c r="D36" s="133"/>
      <c r="E36" s="133"/>
      <c r="F36" s="133"/>
      <c r="G36" s="133"/>
      <c r="H36" s="127"/>
    </row>
    <row r="37" spans="1:8" ht="15" customHeight="1">
      <c r="A37" s="131"/>
      <c r="B37" s="132" t="s">
        <v>468</v>
      </c>
      <c r="C37" s="135"/>
      <c r="D37" s="135"/>
      <c r="E37" s="133"/>
      <c r="F37" s="135"/>
      <c r="G37" s="135"/>
      <c r="H37" s="127"/>
    </row>
    <row r="38" spans="1:8" ht="11.25" customHeight="1">
      <c r="A38" s="131"/>
      <c r="B38" s="132"/>
      <c r="C38" s="834" t="s">
        <v>110</v>
      </c>
      <c r="D38" s="834"/>
      <c r="E38" s="136"/>
      <c r="F38" s="834" t="s">
        <v>138</v>
      </c>
      <c r="G38" s="834"/>
      <c r="H38" s="127"/>
    </row>
    <row r="39" spans="1:8" ht="15" customHeight="1">
      <c r="A39" s="131"/>
      <c r="B39" s="132"/>
      <c r="C39" s="136"/>
      <c r="D39" s="136"/>
      <c r="E39" s="136"/>
      <c r="F39" s="136"/>
      <c r="G39" s="136"/>
      <c r="H39" s="127"/>
    </row>
    <row r="40" spans="1:8" ht="15" customHeight="1">
      <c r="A40" s="131"/>
      <c r="B40" s="132" t="s">
        <v>592</v>
      </c>
      <c r="C40" s="135"/>
      <c r="D40" s="135"/>
      <c r="E40" s="133"/>
      <c r="F40" s="135"/>
      <c r="G40" s="135"/>
      <c r="H40" s="127"/>
    </row>
    <row r="41" spans="1:8" ht="11.25" customHeight="1">
      <c r="A41" s="131"/>
      <c r="B41" s="132"/>
      <c r="C41" s="834" t="s">
        <v>110</v>
      </c>
      <c r="D41" s="834"/>
      <c r="E41" s="136"/>
      <c r="F41" s="834" t="s">
        <v>138</v>
      </c>
      <c r="G41" s="834"/>
      <c r="H41" s="127"/>
    </row>
    <row r="42" spans="1:8" ht="15" customHeight="1">
      <c r="A42" s="131"/>
      <c r="B42" s="132"/>
      <c r="C42" s="133"/>
      <c r="D42" s="133"/>
      <c r="E42" s="133"/>
      <c r="F42" s="133"/>
      <c r="G42" s="133"/>
      <c r="H42" s="127"/>
    </row>
    <row r="43" spans="1:8" ht="15" customHeight="1">
      <c r="A43" s="131"/>
      <c r="B43" s="132"/>
      <c r="C43" s="133"/>
      <c r="D43" s="133"/>
      <c r="E43" s="133"/>
      <c r="F43" s="133"/>
      <c r="G43" s="133"/>
      <c r="H43" s="127"/>
    </row>
    <row r="44" spans="1:8" ht="15" customHeight="1">
      <c r="A44" s="131"/>
      <c r="B44" s="132" t="s">
        <v>139</v>
      </c>
      <c r="C44" s="133"/>
      <c r="D44" s="133"/>
      <c r="E44" s="133"/>
      <c r="F44" s="133"/>
      <c r="G44" s="133"/>
      <c r="H44" s="12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 selectLockedCells="1" selectUnlockedCells="1"/>
  <mergeCells count="14">
    <mergeCell ref="B9:B10"/>
    <mergeCell ref="C9:C10"/>
    <mergeCell ref="D9:F9"/>
    <mergeCell ref="G9:G10"/>
    <mergeCell ref="C41:D41"/>
    <mergeCell ref="F41:G41"/>
    <mergeCell ref="F2:G2"/>
    <mergeCell ref="A4:G4"/>
    <mergeCell ref="A5:G5"/>
    <mergeCell ref="E6:F6"/>
    <mergeCell ref="C38:D38"/>
    <mergeCell ref="F38:G38"/>
    <mergeCell ref="A7:G7"/>
    <mergeCell ref="A9:A10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zoomScalePageLayoutView="0" workbookViewId="0" topLeftCell="A1">
      <selection activeCell="B23" sqref="B23"/>
    </sheetView>
  </sheetViews>
  <sheetFormatPr defaultColWidth="9.140625" defaultRowHeight="15" customHeight="1"/>
  <cols>
    <col min="1" max="1" width="5.421875" style="1" customWidth="1"/>
    <col min="2" max="2" width="42.8515625" style="1" customWidth="1"/>
    <col min="3" max="3" width="11.8515625" style="1" customWidth="1"/>
    <col min="4" max="4" width="17.57421875" style="1" customWidth="1"/>
    <col min="5" max="5" width="16.421875" style="1" customWidth="1"/>
    <col min="6" max="6" width="14.8515625" style="1" customWidth="1"/>
    <col min="7" max="7" width="13.28125" style="1" customWidth="1"/>
    <col min="8" max="8" width="15.28125" style="1" customWidth="1"/>
    <col min="9" max="16384" width="9.140625" style="1" customWidth="1"/>
  </cols>
  <sheetData>
    <row r="1" ht="15" customHeight="1">
      <c r="G1" s="1" t="s">
        <v>74</v>
      </c>
    </row>
    <row r="2" spans="6:7" ht="87" customHeight="1">
      <c r="F2" s="928" t="s">
        <v>114</v>
      </c>
      <c r="G2" s="928"/>
    </row>
    <row r="4" spans="1:8" ht="15.75" customHeight="1">
      <c r="A4" s="804" t="s">
        <v>140</v>
      </c>
      <c r="B4" s="804"/>
      <c r="C4" s="804"/>
      <c r="D4" s="804"/>
      <c r="E4" s="804"/>
      <c r="F4" s="804"/>
      <c r="G4" s="804"/>
      <c r="H4" s="122"/>
    </row>
    <row r="5" spans="1:8" ht="15.75" customHeight="1">
      <c r="A5" s="804" t="s">
        <v>141</v>
      </c>
      <c r="B5" s="804"/>
      <c r="C5" s="804"/>
      <c r="D5" s="804"/>
      <c r="E5" s="804"/>
      <c r="F5" s="804"/>
      <c r="G5" s="804"/>
      <c r="H5" s="122"/>
    </row>
    <row r="6" spans="1:8" ht="10.5" customHeight="1">
      <c r="A6" s="123"/>
      <c r="B6" s="123"/>
      <c r="C6" s="123"/>
      <c r="D6" s="929" t="s">
        <v>117</v>
      </c>
      <c r="E6" s="929"/>
      <c r="F6" s="137"/>
      <c r="G6" s="123"/>
      <c r="H6" s="122"/>
    </row>
    <row r="7" spans="1:8" ht="15.75" customHeight="1">
      <c r="A7" s="804" t="s">
        <v>118</v>
      </c>
      <c r="B7" s="804"/>
      <c r="C7" s="804"/>
      <c r="D7" s="804"/>
      <c r="E7" s="804"/>
      <c r="F7" s="804"/>
      <c r="G7" s="804"/>
      <c r="H7" s="122"/>
    </row>
    <row r="8" spans="1:8" ht="15.75" customHeight="1">
      <c r="A8" s="123"/>
      <c r="B8" s="123"/>
      <c r="C8" s="123"/>
      <c r="D8" s="123"/>
      <c r="E8" s="123"/>
      <c r="F8" s="123"/>
      <c r="G8" s="123"/>
      <c r="H8" s="122"/>
    </row>
    <row r="9" spans="1:8" s="125" customFormat="1" ht="30.75" customHeight="1">
      <c r="A9" s="792" t="s">
        <v>496</v>
      </c>
      <c r="B9" s="792" t="s">
        <v>119</v>
      </c>
      <c r="C9" s="792" t="s">
        <v>120</v>
      </c>
      <c r="D9" s="792" t="s">
        <v>121</v>
      </c>
      <c r="E9" s="792"/>
      <c r="F9" s="792"/>
      <c r="G9" s="792" t="s">
        <v>142</v>
      </c>
      <c r="H9" s="792" t="s">
        <v>143</v>
      </c>
    </row>
    <row r="10" spans="1:8" s="125" customFormat="1" ht="64.5" customHeight="1">
      <c r="A10" s="792"/>
      <c r="B10" s="792"/>
      <c r="C10" s="792"/>
      <c r="D10" s="7" t="s">
        <v>373</v>
      </c>
      <c r="E10" s="7" t="s">
        <v>123</v>
      </c>
      <c r="F10" s="7" t="s">
        <v>124</v>
      </c>
      <c r="G10" s="792"/>
      <c r="H10" s="792"/>
    </row>
    <row r="11" spans="1:8" ht="15" customHeight="1">
      <c r="A11" s="126" t="s">
        <v>125</v>
      </c>
      <c r="B11" s="126" t="s">
        <v>126</v>
      </c>
      <c r="C11" s="126">
        <v>1</v>
      </c>
      <c r="D11" s="126">
        <v>2</v>
      </c>
      <c r="E11" s="126">
        <v>3</v>
      </c>
      <c r="F11" s="126">
        <v>4</v>
      </c>
      <c r="G11" s="126">
        <v>5</v>
      </c>
      <c r="H11" s="126">
        <v>6</v>
      </c>
    </row>
    <row r="12" spans="1:8" ht="15" customHeight="1">
      <c r="A12" s="128" t="s">
        <v>394</v>
      </c>
      <c r="B12" s="129" t="s">
        <v>144</v>
      </c>
      <c r="C12" s="126"/>
      <c r="D12" s="126"/>
      <c r="E12" s="126"/>
      <c r="F12" s="126"/>
      <c r="G12" s="126"/>
      <c r="H12" s="126"/>
    </row>
    <row r="13" spans="1:8" ht="15" customHeight="1">
      <c r="A13" s="128" t="s">
        <v>398</v>
      </c>
      <c r="B13" s="129" t="s">
        <v>133</v>
      </c>
      <c r="C13" s="126"/>
      <c r="D13" s="126"/>
      <c r="E13" s="126"/>
      <c r="F13" s="126"/>
      <c r="G13" s="126"/>
      <c r="H13" s="126">
        <v>1</v>
      </c>
    </row>
    <row r="14" spans="1:8" ht="15" customHeight="1">
      <c r="A14" s="131"/>
      <c r="B14" s="132"/>
      <c r="C14" s="133"/>
      <c r="D14" s="133"/>
      <c r="E14" s="133"/>
      <c r="F14" s="133"/>
      <c r="G14" s="133"/>
      <c r="H14" s="127"/>
    </row>
    <row r="15" spans="1:8" ht="15" customHeight="1">
      <c r="A15" s="131"/>
      <c r="B15" s="132"/>
      <c r="C15" s="133"/>
      <c r="D15" s="133"/>
      <c r="E15" s="133"/>
      <c r="F15" s="133"/>
      <c r="G15" s="133"/>
      <c r="H15" s="127"/>
    </row>
    <row r="16" spans="1:8" ht="15" customHeight="1">
      <c r="A16" s="134" t="s">
        <v>145</v>
      </c>
      <c r="B16" s="132"/>
      <c r="C16" s="133"/>
      <c r="D16" s="133"/>
      <c r="E16" s="133"/>
      <c r="F16" s="133"/>
      <c r="G16" s="133"/>
      <c r="H16" s="127"/>
    </row>
    <row r="17" spans="1:8" ht="15" customHeight="1">
      <c r="A17" s="134" t="s">
        <v>146</v>
      </c>
      <c r="B17" s="132"/>
      <c r="C17" s="133"/>
      <c r="D17" s="133"/>
      <c r="E17" s="133"/>
      <c r="F17" s="133"/>
      <c r="G17" s="133"/>
      <c r="H17" s="127"/>
    </row>
    <row r="18" spans="1:8" ht="15" customHeight="1">
      <c r="A18" s="131"/>
      <c r="B18" s="132"/>
      <c r="C18" s="133"/>
      <c r="D18" s="133"/>
      <c r="E18" s="133"/>
      <c r="F18" s="133"/>
      <c r="G18" s="133"/>
      <c r="H18" s="127"/>
    </row>
    <row r="19" spans="1:8" ht="15" customHeight="1">
      <c r="A19" s="131"/>
      <c r="B19" s="132"/>
      <c r="C19" s="133"/>
      <c r="D19" s="133"/>
      <c r="E19" s="133"/>
      <c r="F19" s="133"/>
      <c r="G19" s="133"/>
      <c r="H19" s="127"/>
    </row>
    <row r="20" spans="1:8" ht="15" customHeight="1">
      <c r="A20" s="131"/>
      <c r="B20" s="132" t="s">
        <v>468</v>
      </c>
      <c r="C20" s="135"/>
      <c r="D20" s="135"/>
      <c r="E20" s="133"/>
      <c r="F20" s="135"/>
      <c r="G20" s="135"/>
      <c r="H20" s="127"/>
    </row>
    <row r="21" spans="1:8" ht="11.25" customHeight="1">
      <c r="A21" s="131"/>
      <c r="B21" s="132"/>
      <c r="C21" s="834" t="s">
        <v>110</v>
      </c>
      <c r="D21" s="834"/>
      <c r="E21" s="136"/>
      <c r="F21" s="834" t="s">
        <v>138</v>
      </c>
      <c r="G21" s="834"/>
      <c r="H21" s="127"/>
    </row>
    <row r="22" spans="1:8" ht="15" customHeight="1">
      <c r="A22" s="131"/>
      <c r="B22" s="132"/>
      <c r="C22" s="136"/>
      <c r="D22" s="136"/>
      <c r="E22" s="136"/>
      <c r="F22" s="136"/>
      <c r="G22" s="136"/>
      <c r="H22" s="127"/>
    </row>
    <row r="23" spans="1:8" ht="15" customHeight="1">
      <c r="A23" s="131"/>
      <c r="B23" s="132" t="s">
        <v>593</v>
      </c>
      <c r="C23" s="135"/>
      <c r="D23" s="135"/>
      <c r="E23" s="133"/>
      <c r="F23" s="135"/>
      <c r="G23" s="135"/>
      <c r="H23" s="127"/>
    </row>
    <row r="24" spans="1:8" ht="11.25" customHeight="1">
      <c r="A24" s="131"/>
      <c r="B24" s="132"/>
      <c r="C24" s="834" t="s">
        <v>110</v>
      </c>
      <c r="D24" s="834"/>
      <c r="E24" s="136"/>
      <c r="F24" s="834" t="s">
        <v>138</v>
      </c>
      <c r="G24" s="834"/>
      <c r="H24" s="127"/>
    </row>
    <row r="25" spans="1:8" ht="15" customHeight="1">
      <c r="A25" s="131"/>
      <c r="B25" s="132"/>
      <c r="C25" s="133"/>
      <c r="D25" s="133"/>
      <c r="E25" s="133"/>
      <c r="F25" s="133"/>
      <c r="G25" s="133"/>
      <c r="H25" s="127"/>
    </row>
    <row r="26" spans="1:8" ht="15" customHeight="1">
      <c r="A26" s="131"/>
      <c r="B26" s="132"/>
      <c r="C26" s="133"/>
      <c r="D26" s="133"/>
      <c r="E26" s="133"/>
      <c r="F26" s="133"/>
      <c r="G26" s="133"/>
      <c r="H26" s="127"/>
    </row>
    <row r="27" spans="1:8" ht="15" customHeight="1">
      <c r="A27" s="131"/>
      <c r="B27" s="132" t="s">
        <v>139</v>
      </c>
      <c r="C27" s="133"/>
      <c r="D27" s="133"/>
      <c r="E27" s="133"/>
      <c r="F27" s="133"/>
      <c r="G27" s="133"/>
      <c r="H27" s="12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 selectLockedCells="1" selectUnlockedCells="1"/>
  <mergeCells count="15">
    <mergeCell ref="C24:D24"/>
    <mergeCell ref="F24:G24"/>
    <mergeCell ref="F2:G2"/>
    <mergeCell ref="A4:G4"/>
    <mergeCell ref="A5:G5"/>
    <mergeCell ref="D6:E6"/>
    <mergeCell ref="A7:G7"/>
    <mergeCell ref="G9:G10"/>
    <mergeCell ref="H9:H10"/>
    <mergeCell ref="C21:D21"/>
    <mergeCell ref="F21:G21"/>
    <mergeCell ref="A9:A10"/>
    <mergeCell ref="B9:B10"/>
    <mergeCell ref="C9:C10"/>
    <mergeCell ref="D9:F9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0"/>
  <sheetViews>
    <sheetView zoomScalePageLayoutView="0" workbookViewId="0" topLeftCell="A1">
      <selection activeCell="F7" sqref="F7"/>
    </sheetView>
  </sheetViews>
  <sheetFormatPr defaultColWidth="9.140625" defaultRowHeight="15" customHeight="1"/>
  <cols>
    <col min="1" max="1" width="6.57421875" style="0" customWidth="1"/>
    <col min="2" max="2" width="36.00390625" style="0" customWidth="1"/>
    <col min="3" max="3" width="24.28125" style="0" customWidth="1"/>
    <col min="4" max="4" width="17.57421875" style="0" customWidth="1"/>
    <col min="5" max="5" width="15.8515625" style="0" customWidth="1"/>
    <col min="6" max="6" width="21.8515625" style="0" customWidth="1"/>
  </cols>
  <sheetData>
    <row r="1" spans="1:6" ht="15" customHeight="1">
      <c r="A1" s="845" t="s">
        <v>535</v>
      </c>
      <c r="B1" s="845"/>
      <c r="C1" s="845"/>
      <c r="D1" s="845"/>
      <c r="E1" s="845"/>
      <c r="F1" s="845"/>
    </row>
    <row r="2" spans="1:9" ht="20.25" customHeight="1">
      <c r="A2" s="1" t="s">
        <v>491</v>
      </c>
      <c r="B2" s="1"/>
      <c r="C2" s="58" t="s">
        <v>536</v>
      </c>
      <c r="D2" s="58"/>
      <c r="E2" s="55"/>
      <c r="F2" s="58"/>
      <c r="G2" s="57"/>
      <c r="H2" s="57"/>
      <c r="I2" s="57"/>
    </row>
    <row r="3" spans="1:9" ht="42" customHeight="1">
      <c r="A3" s="1" t="s">
        <v>493</v>
      </c>
      <c r="B3" s="1"/>
      <c r="C3" s="866" t="s">
        <v>494</v>
      </c>
      <c r="D3" s="866"/>
      <c r="E3" s="866"/>
      <c r="F3" s="866"/>
      <c r="G3" s="57"/>
      <c r="H3" s="57"/>
      <c r="I3" s="57"/>
    </row>
    <row r="4" ht="15" customHeight="1">
      <c r="A4" s="62"/>
    </row>
    <row r="5" spans="1:6" ht="45" customHeight="1">
      <c r="A5" s="63" t="s">
        <v>496</v>
      </c>
      <c r="B5" s="63" t="s">
        <v>537</v>
      </c>
      <c r="C5" s="63" t="s">
        <v>538</v>
      </c>
      <c r="D5" s="63" t="s">
        <v>539</v>
      </c>
      <c r="E5" s="63" t="s">
        <v>540</v>
      </c>
      <c r="F5" s="63" t="s">
        <v>541</v>
      </c>
    </row>
    <row r="6" spans="1:6" ht="15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</row>
    <row r="7" spans="1:6" ht="30" customHeight="1">
      <c r="A7" s="64">
        <v>1</v>
      </c>
      <c r="B7" s="65" t="s">
        <v>542</v>
      </c>
      <c r="C7" s="66">
        <v>0</v>
      </c>
      <c r="D7" s="66">
        <v>0</v>
      </c>
      <c r="E7" s="67">
        <v>0</v>
      </c>
      <c r="F7" s="66">
        <f>C7*D7*E7</f>
        <v>0</v>
      </c>
    </row>
    <row r="8" spans="1:6" ht="30" customHeight="1">
      <c r="A8" s="64">
        <v>2</v>
      </c>
      <c r="B8" s="65" t="s">
        <v>543</v>
      </c>
      <c r="C8" s="66">
        <v>0</v>
      </c>
      <c r="D8" s="66">
        <v>0</v>
      </c>
      <c r="E8" s="67">
        <v>0</v>
      </c>
      <c r="F8" s="66">
        <f>C8*D8*E8</f>
        <v>0</v>
      </c>
    </row>
    <row r="9" spans="1:6" ht="30" customHeight="1">
      <c r="A9" s="64">
        <v>3</v>
      </c>
      <c r="B9" s="65" t="s">
        <v>544</v>
      </c>
      <c r="C9" s="66">
        <v>0</v>
      </c>
      <c r="D9" s="66">
        <v>0</v>
      </c>
      <c r="E9" s="67">
        <v>0</v>
      </c>
      <c r="F9" s="66">
        <f>C9*D9*E9</f>
        <v>0</v>
      </c>
    </row>
    <row r="10" spans="1:6" ht="15" customHeight="1">
      <c r="A10" s="68"/>
      <c r="B10" s="60" t="s">
        <v>545</v>
      </c>
      <c r="C10" s="64" t="s">
        <v>546</v>
      </c>
      <c r="D10" s="64" t="s">
        <v>546</v>
      </c>
      <c r="E10" s="64" t="s">
        <v>546</v>
      </c>
      <c r="F10" s="69">
        <f>SUM(F7:F9)</f>
        <v>0</v>
      </c>
    </row>
    <row r="13" spans="1:6" ht="15" customHeight="1">
      <c r="A13" s="845" t="s">
        <v>547</v>
      </c>
      <c r="B13" s="845"/>
      <c r="C13" s="845"/>
      <c r="D13" s="845"/>
      <c r="E13" s="845"/>
      <c r="F13" s="845"/>
    </row>
    <row r="14" spans="1:6" ht="15" customHeight="1">
      <c r="A14" s="1" t="s">
        <v>491</v>
      </c>
      <c r="B14" s="1"/>
      <c r="C14" s="58" t="s">
        <v>536</v>
      </c>
      <c r="D14" s="58"/>
      <c r="E14" s="55"/>
      <c r="F14" s="58"/>
    </row>
    <row r="15" spans="1:6" ht="39.75" customHeight="1">
      <c r="A15" s="1" t="s">
        <v>493</v>
      </c>
      <c r="B15" s="1"/>
      <c r="C15" s="866" t="s">
        <v>494</v>
      </c>
      <c r="D15" s="866"/>
      <c r="E15" s="866"/>
      <c r="F15" s="866"/>
    </row>
    <row r="17" spans="1:6" ht="52.5" customHeight="1">
      <c r="A17" s="63" t="s">
        <v>496</v>
      </c>
      <c r="B17" s="63" t="s">
        <v>537</v>
      </c>
      <c r="C17" s="63" t="s">
        <v>548</v>
      </c>
      <c r="D17" s="63" t="s">
        <v>549</v>
      </c>
      <c r="E17" s="63" t="s">
        <v>550</v>
      </c>
      <c r="F17" s="63" t="s">
        <v>551</v>
      </c>
    </row>
    <row r="18" spans="1:6" ht="15" customHeight="1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59">
        <v>6</v>
      </c>
    </row>
    <row r="19" spans="1:6" ht="25.5" customHeight="1">
      <c r="A19" s="68">
        <v>1</v>
      </c>
      <c r="B19" s="70" t="s">
        <v>552</v>
      </c>
      <c r="C19" s="71"/>
      <c r="D19" s="71"/>
      <c r="E19" s="72"/>
      <c r="F19" s="72">
        <f>C19*D19*E19</f>
        <v>0</v>
      </c>
    </row>
    <row r="20" spans="1:6" ht="15" customHeight="1">
      <c r="A20" s="70"/>
      <c r="B20" s="60" t="s">
        <v>545</v>
      </c>
      <c r="C20" s="68" t="s">
        <v>546</v>
      </c>
      <c r="D20" s="68" t="s">
        <v>546</v>
      </c>
      <c r="E20" s="68" t="s">
        <v>546</v>
      </c>
      <c r="F20" s="70"/>
    </row>
  </sheetData>
  <sheetProtection selectLockedCells="1" selectUnlockedCells="1"/>
  <mergeCells count="4">
    <mergeCell ref="A1:F1"/>
    <mergeCell ref="C3:F3"/>
    <mergeCell ref="A13:F13"/>
    <mergeCell ref="C15:F15"/>
  </mergeCells>
  <printOptions/>
  <pageMargins left="0.75" right="0.49027777777777776" top="0.6597222222222222" bottom="0.49027777777777776" header="0.5118055555555555" footer="0.511805555555555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67"/>
  <sheetViews>
    <sheetView view="pageBreakPreview" zoomScale="85" zoomScaleSheetLayoutView="85" zoomScalePageLayoutView="0" workbookViewId="0" topLeftCell="A34">
      <selection activeCell="K57" sqref="K57"/>
    </sheetView>
  </sheetViews>
  <sheetFormatPr defaultColWidth="9.140625" defaultRowHeight="15" customHeight="1"/>
  <cols>
    <col min="1" max="4" width="3.7109375" style="35" customWidth="1"/>
    <col min="5" max="5" width="6.140625" style="35" customWidth="1"/>
    <col min="6" max="8" width="15.7109375" style="35" customWidth="1"/>
    <col min="9" max="9" width="19.8515625" style="35" customWidth="1"/>
    <col min="10" max="10" width="25.28125" style="35" customWidth="1"/>
    <col min="11" max="11" width="18.8515625" style="204" customWidth="1"/>
    <col min="12" max="12" width="22.140625" style="298" customWidth="1"/>
    <col min="13" max="13" width="9.140625" style="35" customWidth="1"/>
    <col min="14" max="14" width="17.00390625" style="35" customWidth="1"/>
    <col min="15" max="15" width="16.421875" style="35" bestFit="1" customWidth="1"/>
    <col min="16" max="16384" width="9.140625" style="35" customWidth="1"/>
  </cols>
  <sheetData>
    <row r="1" spans="1:12" ht="19.5" customHeight="1">
      <c r="A1" s="784" t="s">
        <v>155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4" ht="31.5">
      <c r="A2" s="785" t="s">
        <v>340</v>
      </c>
      <c r="B2" s="785"/>
      <c r="C2" s="785"/>
      <c r="D2" s="785"/>
      <c r="E2" s="785"/>
      <c r="F2" s="785"/>
      <c r="G2" s="785"/>
      <c r="H2" s="786"/>
      <c r="I2" s="786"/>
      <c r="J2" s="786"/>
      <c r="K2" s="285" t="s">
        <v>341</v>
      </c>
      <c r="L2" s="286" t="s">
        <v>156</v>
      </c>
      <c r="M2" s="200"/>
      <c r="N2" s="200"/>
    </row>
    <row r="3" spans="1:12" ht="19.5" customHeight="1">
      <c r="A3" s="779" t="s">
        <v>264</v>
      </c>
      <c r="B3" s="779"/>
      <c r="C3" s="779"/>
      <c r="D3" s="779"/>
      <c r="E3" s="779"/>
      <c r="F3" s="779"/>
      <c r="G3" s="779"/>
      <c r="H3" s="780"/>
      <c r="I3" s="780"/>
      <c r="J3" s="780"/>
      <c r="K3" s="284" t="s">
        <v>342</v>
      </c>
      <c r="L3" s="287">
        <f>L5</f>
        <v>34849774.4</v>
      </c>
    </row>
    <row r="4" spans="1:12" s="34" customFormat="1" ht="12.75" customHeight="1">
      <c r="A4" s="288"/>
      <c r="B4" s="781" t="s">
        <v>343</v>
      </c>
      <c r="C4" s="781"/>
      <c r="D4" s="781"/>
      <c r="E4" s="781"/>
      <c r="F4" s="781"/>
      <c r="G4" s="289"/>
      <c r="H4" s="289"/>
      <c r="I4" s="289"/>
      <c r="J4" s="289"/>
      <c r="K4" s="289"/>
      <c r="L4" s="290"/>
    </row>
    <row r="5" spans="1:12" ht="19.5" customHeight="1">
      <c r="A5" s="291"/>
      <c r="B5" s="782" t="s">
        <v>344</v>
      </c>
      <c r="C5" s="782"/>
      <c r="D5" s="782"/>
      <c r="E5" s="782"/>
      <c r="F5" s="782"/>
      <c r="G5" s="782"/>
      <c r="H5" s="782"/>
      <c r="I5" s="782"/>
      <c r="J5" s="783"/>
      <c r="K5" s="285" t="s">
        <v>342</v>
      </c>
      <c r="L5" s="293">
        <v>34849774.4</v>
      </c>
    </row>
    <row r="6" spans="1:12" ht="19.5" customHeight="1">
      <c r="A6" s="291"/>
      <c r="B6" s="292"/>
      <c r="C6" s="782" t="s">
        <v>345</v>
      </c>
      <c r="D6" s="782"/>
      <c r="E6" s="782"/>
      <c r="F6" s="782"/>
      <c r="G6" s="782"/>
      <c r="H6" s="782"/>
      <c r="I6" s="782"/>
      <c r="J6" s="783"/>
      <c r="K6" s="285"/>
      <c r="L6" s="293"/>
    </row>
    <row r="7" spans="1:12" ht="19.5" customHeight="1">
      <c r="A7" s="291"/>
      <c r="B7" s="292"/>
      <c r="C7" s="782" t="s">
        <v>346</v>
      </c>
      <c r="D7" s="782"/>
      <c r="E7" s="782"/>
      <c r="F7" s="782"/>
      <c r="G7" s="782"/>
      <c r="H7" s="782"/>
      <c r="I7" s="782"/>
      <c r="J7" s="783"/>
      <c r="K7" s="285" t="s">
        <v>342</v>
      </c>
      <c r="L7" s="293">
        <v>0</v>
      </c>
    </row>
    <row r="8" spans="1:12" ht="19.5" customHeight="1">
      <c r="A8" s="291"/>
      <c r="B8" s="292"/>
      <c r="C8" s="782" t="s">
        <v>347</v>
      </c>
      <c r="D8" s="782"/>
      <c r="E8" s="782"/>
      <c r="F8" s="782"/>
      <c r="G8" s="782"/>
      <c r="H8" s="782"/>
      <c r="I8" s="782"/>
      <c r="J8" s="783"/>
      <c r="K8" s="285" t="s">
        <v>342</v>
      </c>
      <c r="L8" s="293">
        <v>0</v>
      </c>
    </row>
    <row r="9" spans="1:12" ht="31.5" customHeight="1">
      <c r="A9" s="291"/>
      <c r="B9" s="782" t="s">
        <v>348</v>
      </c>
      <c r="C9" s="782"/>
      <c r="D9" s="782"/>
      <c r="E9" s="782"/>
      <c r="F9" s="782"/>
      <c r="G9" s="782"/>
      <c r="H9" s="782"/>
      <c r="I9" s="782"/>
      <c r="J9" s="783"/>
      <c r="K9" s="285" t="s">
        <v>342</v>
      </c>
      <c r="L9" s="286">
        <v>0</v>
      </c>
    </row>
    <row r="10" spans="1:12" ht="31.5" customHeight="1">
      <c r="A10" s="291"/>
      <c r="B10" s="782" t="s">
        <v>349</v>
      </c>
      <c r="C10" s="782"/>
      <c r="D10" s="782"/>
      <c r="E10" s="782"/>
      <c r="F10" s="782"/>
      <c r="G10" s="782"/>
      <c r="H10" s="782"/>
      <c r="I10" s="782"/>
      <c r="J10" s="783"/>
      <c r="K10" s="285" t="s">
        <v>342</v>
      </c>
      <c r="L10" s="286">
        <v>0</v>
      </c>
    </row>
    <row r="11" spans="1:12" ht="19.5" customHeight="1">
      <c r="A11" s="779" t="s">
        <v>265</v>
      </c>
      <c r="B11" s="779"/>
      <c r="C11" s="779"/>
      <c r="D11" s="779"/>
      <c r="E11" s="779"/>
      <c r="F11" s="779"/>
      <c r="G11" s="779"/>
      <c r="H11" s="780"/>
      <c r="I11" s="780"/>
      <c r="J11" s="780"/>
      <c r="K11" s="284" t="s">
        <v>342</v>
      </c>
      <c r="L11" s="287">
        <f>L13</f>
        <v>23402440.36</v>
      </c>
    </row>
    <row r="12" spans="1:12" s="34" customFormat="1" ht="12.75" customHeight="1">
      <c r="A12" s="288"/>
      <c r="B12" s="781" t="s">
        <v>343</v>
      </c>
      <c r="C12" s="781"/>
      <c r="D12" s="781"/>
      <c r="E12" s="781"/>
      <c r="F12" s="781"/>
      <c r="G12" s="289"/>
      <c r="H12" s="289"/>
      <c r="I12" s="289"/>
      <c r="J12" s="289"/>
      <c r="K12" s="289"/>
      <c r="L12" s="290"/>
    </row>
    <row r="13" spans="1:12" ht="19.5" customHeight="1">
      <c r="A13" s="291"/>
      <c r="B13" s="782" t="s">
        <v>350</v>
      </c>
      <c r="C13" s="782"/>
      <c r="D13" s="782"/>
      <c r="E13" s="782"/>
      <c r="F13" s="782"/>
      <c r="G13" s="782"/>
      <c r="H13" s="782"/>
      <c r="I13" s="782"/>
      <c r="J13" s="783"/>
      <c r="K13" s="285" t="s">
        <v>342</v>
      </c>
      <c r="L13" s="293">
        <v>23402440.36</v>
      </c>
    </row>
    <row r="14" spans="1:12" ht="19.5" customHeight="1">
      <c r="A14" s="291"/>
      <c r="B14" s="292"/>
      <c r="C14" s="782" t="s">
        <v>345</v>
      </c>
      <c r="D14" s="782"/>
      <c r="E14" s="782"/>
      <c r="F14" s="782"/>
      <c r="G14" s="782"/>
      <c r="H14" s="782"/>
      <c r="I14" s="782"/>
      <c r="J14" s="783"/>
      <c r="K14" s="285"/>
      <c r="L14" s="293"/>
    </row>
    <row r="15" spans="1:12" ht="19.5" customHeight="1">
      <c r="A15" s="291"/>
      <c r="B15" s="292"/>
      <c r="C15" s="782" t="s">
        <v>346</v>
      </c>
      <c r="D15" s="782"/>
      <c r="E15" s="782"/>
      <c r="F15" s="782"/>
      <c r="G15" s="782"/>
      <c r="H15" s="782"/>
      <c r="I15" s="782"/>
      <c r="J15" s="783"/>
      <c r="K15" s="285" t="s">
        <v>342</v>
      </c>
      <c r="L15" s="293">
        <v>0</v>
      </c>
    </row>
    <row r="16" spans="1:12" ht="19.5" customHeight="1">
      <c r="A16" s="291"/>
      <c r="B16" s="292"/>
      <c r="C16" s="782" t="s">
        <v>347</v>
      </c>
      <c r="D16" s="782"/>
      <c r="E16" s="782"/>
      <c r="F16" s="782"/>
      <c r="G16" s="782"/>
      <c r="H16" s="782"/>
      <c r="I16" s="782"/>
      <c r="J16" s="783"/>
      <c r="K16" s="285" t="s">
        <v>342</v>
      </c>
      <c r="L16" s="293">
        <v>0</v>
      </c>
    </row>
    <row r="17" spans="1:12" ht="19.5" customHeight="1">
      <c r="A17" s="291"/>
      <c r="B17" s="292"/>
      <c r="C17" s="782" t="s">
        <v>351</v>
      </c>
      <c r="D17" s="782"/>
      <c r="E17" s="782"/>
      <c r="F17" s="782"/>
      <c r="G17" s="782"/>
      <c r="H17" s="782"/>
      <c r="I17" s="782"/>
      <c r="J17" s="783"/>
      <c r="K17" s="285" t="s">
        <v>342</v>
      </c>
      <c r="L17" s="293">
        <v>8380167.37</v>
      </c>
    </row>
    <row r="18" spans="1:15" ht="19.5" customHeight="1">
      <c r="A18" s="779" t="s">
        <v>266</v>
      </c>
      <c r="B18" s="779"/>
      <c r="C18" s="779"/>
      <c r="D18" s="779"/>
      <c r="E18" s="779"/>
      <c r="F18" s="779"/>
      <c r="G18" s="779"/>
      <c r="H18" s="780"/>
      <c r="I18" s="780"/>
      <c r="J18" s="780"/>
      <c r="K18" s="284" t="s">
        <v>342</v>
      </c>
      <c r="L18" s="287">
        <f>L20+L26</f>
        <v>18179131.98</v>
      </c>
      <c r="M18" s="787"/>
      <c r="N18" s="788"/>
      <c r="O18" s="715"/>
    </row>
    <row r="19" spans="1:14" s="34" customFormat="1" ht="12.75" customHeight="1">
      <c r="A19" s="288"/>
      <c r="B19" s="781" t="s">
        <v>343</v>
      </c>
      <c r="C19" s="781"/>
      <c r="D19" s="781"/>
      <c r="E19" s="781"/>
      <c r="F19" s="781"/>
      <c r="G19" s="289"/>
      <c r="H19" s="289"/>
      <c r="I19" s="289"/>
      <c r="J19" s="289"/>
      <c r="K19" s="289"/>
      <c r="L19" s="290"/>
      <c r="M19" s="787"/>
      <c r="N19" s="788"/>
    </row>
    <row r="20" spans="1:12" ht="19.5" customHeight="1">
      <c r="A20" s="291"/>
      <c r="B20" s="782" t="s">
        <v>344</v>
      </c>
      <c r="C20" s="782"/>
      <c r="D20" s="782"/>
      <c r="E20" s="782"/>
      <c r="F20" s="782"/>
      <c r="G20" s="782"/>
      <c r="H20" s="782"/>
      <c r="I20" s="782"/>
      <c r="J20" s="783"/>
      <c r="K20" s="285" t="s">
        <v>342</v>
      </c>
      <c r="L20" s="293">
        <v>12498057.6</v>
      </c>
    </row>
    <row r="21" spans="1:12" ht="19.5" customHeight="1">
      <c r="A21" s="291"/>
      <c r="B21" s="292"/>
      <c r="C21" s="782" t="s">
        <v>345</v>
      </c>
      <c r="D21" s="782"/>
      <c r="E21" s="782"/>
      <c r="F21" s="782"/>
      <c r="G21" s="782"/>
      <c r="H21" s="782"/>
      <c r="I21" s="782"/>
      <c r="J21" s="783"/>
      <c r="K21" s="285"/>
      <c r="L21" s="293"/>
    </row>
    <row r="22" spans="1:12" ht="19.5" customHeight="1">
      <c r="A22" s="291"/>
      <c r="B22" s="292"/>
      <c r="C22" s="782" t="s">
        <v>346</v>
      </c>
      <c r="D22" s="782"/>
      <c r="E22" s="782"/>
      <c r="F22" s="782"/>
      <c r="G22" s="782"/>
      <c r="H22" s="782"/>
      <c r="I22" s="782"/>
      <c r="J22" s="783"/>
      <c r="K22" s="285" t="s">
        <v>342</v>
      </c>
      <c r="L22" s="293">
        <v>0</v>
      </c>
    </row>
    <row r="23" spans="1:12" ht="19.5" customHeight="1">
      <c r="A23" s="291"/>
      <c r="B23" s="292"/>
      <c r="C23" s="782" t="s">
        <v>347</v>
      </c>
      <c r="D23" s="782"/>
      <c r="E23" s="782"/>
      <c r="F23" s="782"/>
      <c r="G23" s="782"/>
      <c r="H23" s="782"/>
      <c r="I23" s="782"/>
      <c r="J23" s="783"/>
      <c r="K23" s="285" t="s">
        <v>342</v>
      </c>
      <c r="L23" s="293">
        <v>0</v>
      </c>
    </row>
    <row r="24" spans="1:12" ht="31.5" customHeight="1">
      <c r="A24" s="291"/>
      <c r="B24" s="782" t="s">
        <v>348</v>
      </c>
      <c r="C24" s="782"/>
      <c r="D24" s="782"/>
      <c r="E24" s="782"/>
      <c r="F24" s="782"/>
      <c r="G24" s="782"/>
      <c r="H24" s="782"/>
      <c r="I24" s="782"/>
      <c r="J24" s="783"/>
      <c r="K24" s="285" t="s">
        <v>342</v>
      </c>
      <c r="L24" s="286">
        <f>L20-L25</f>
        <v>12189212.32</v>
      </c>
    </row>
    <row r="25" spans="1:12" ht="31.5" customHeight="1">
      <c r="A25" s="291"/>
      <c r="B25" s="782" t="s">
        <v>349</v>
      </c>
      <c r="C25" s="782"/>
      <c r="D25" s="782"/>
      <c r="E25" s="782"/>
      <c r="F25" s="782"/>
      <c r="G25" s="782"/>
      <c r="H25" s="782"/>
      <c r="I25" s="782"/>
      <c r="J25" s="783"/>
      <c r="K25" s="285" t="s">
        <v>342</v>
      </c>
      <c r="L25" s="286">
        <v>308845.28</v>
      </c>
    </row>
    <row r="26" spans="1:12" ht="19.5" customHeight="1">
      <c r="A26" s="291"/>
      <c r="B26" s="782" t="s">
        <v>350</v>
      </c>
      <c r="C26" s="782"/>
      <c r="D26" s="782"/>
      <c r="E26" s="782"/>
      <c r="F26" s="782"/>
      <c r="G26" s="782"/>
      <c r="H26" s="782"/>
      <c r="I26" s="782"/>
      <c r="J26" s="783"/>
      <c r="K26" s="285" t="s">
        <v>342</v>
      </c>
      <c r="L26" s="293">
        <v>5681074.38</v>
      </c>
    </row>
    <row r="27" spans="1:12" ht="19.5" customHeight="1">
      <c r="A27" s="291"/>
      <c r="B27" s="292"/>
      <c r="C27" s="782" t="s">
        <v>345</v>
      </c>
      <c r="D27" s="782"/>
      <c r="E27" s="782"/>
      <c r="F27" s="782"/>
      <c r="G27" s="782"/>
      <c r="H27" s="782"/>
      <c r="I27" s="782"/>
      <c r="J27" s="783"/>
      <c r="K27" s="285"/>
      <c r="L27" s="293"/>
    </row>
    <row r="28" spans="1:12" ht="19.5" customHeight="1">
      <c r="A28" s="291"/>
      <c r="B28" s="292"/>
      <c r="C28" s="782" t="s">
        <v>346</v>
      </c>
      <c r="D28" s="782"/>
      <c r="E28" s="782"/>
      <c r="F28" s="782"/>
      <c r="G28" s="782"/>
      <c r="H28" s="782"/>
      <c r="I28" s="782"/>
      <c r="J28" s="783"/>
      <c r="K28" s="285" t="s">
        <v>342</v>
      </c>
      <c r="L28" s="293">
        <v>0</v>
      </c>
    </row>
    <row r="29" spans="1:12" ht="19.5" customHeight="1">
      <c r="A29" s="291"/>
      <c r="B29" s="292"/>
      <c r="C29" s="782" t="s">
        <v>347</v>
      </c>
      <c r="D29" s="782"/>
      <c r="E29" s="782"/>
      <c r="F29" s="782"/>
      <c r="G29" s="782"/>
      <c r="H29" s="782"/>
      <c r="I29" s="782"/>
      <c r="J29" s="783"/>
      <c r="K29" s="285" t="s">
        <v>342</v>
      </c>
      <c r="L29" s="293">
        <v>0</v>
      </c>
    </row>
    <row r="30" spans="1:12" ht="19.5" customHeight="1">
      <c r="A30" s="291"/>
      <c r="B30" s="292"/>
      <c r="C30" s="782" t="s">
        <v>351</v>
      </c>
      <c r="D30" s="782"/>
      <c r="E30" s="782"/>
      <c r="F30" s="782"/>
      <c r="G30" s="782"/>
      <c r="H30" s="782"/>
      <c r="I30" s="782"/>
      <c r="J30" s="783"/>
      <c r="K30" s="285" t="s">
        <v>342</v>
      </c>
      <c r="L30" s="293">
        <v>3003012.2</v>
      </c>
    </row>
    <row r="31" spans="1:12" ht="19.5" customHeight="1">
      <c r="A31" s="779" t="s">
        <v>267</v>
      </c>
      <c r="B31" s="779"/>
      <c r="C31" s="779"/>
      <c r="D31" s="779"/>
      <c r="E31" s="779"/>
      <c r="F31" s="779"/>
      <c r="G31" s="779"/>
      <c r="H31" s="780"/>
      <c r="I31" s="780"/>
      <c r="J31" s="780"/>
      <c r="K31" s="284" t="s">
        <v>352</v>
      </c>
      <c r="L31" s="294">
        <f>SUM(L33:L35)</f>
        <v>28</v>
      </c>
    </row>
    <row r="32" spans="1:12" ht="19.5" customHeight="1">
      <c r="A32" s="291"/>
      <c r="B32" s="292"/>
      <c r="C32" s="782" t="s">
        <v>343</v>
      </c>
      <c r="D32" s="782"/>
      <c r="E32" s="782"/>
      <c r="F32" s="782"/>
      <c r="G32" s="782"/>
      <c r="H32" s="782"/>
      <c r="I32" s="782"/>
      <c r="J32" s="783"/>
      <c r="K32" s="285"/>
      <c r="L32" s="295"/>
    </row>
    <row r="33" spans="1:12" ht="19.5" customHeight="1">
      <c r="A33" s="291"/>
      <c r="B33" s="292"/>
      <c r="C33" s="782" t="s">
        <v>353</v>
      </c>
      <c r="D33" s="782"/>
      <c r="E33" s="782"/>
      <c r="F33" s="782"/>
      <c r="G33" s="782"/>
      <c r="H33" s="782"/>
      <c r="I33" s="782"/>
      <c r="J33" s="783"/>
      <c r="K33" s="285" t="s">
        <v>352</v>
      </c>
      <c r="L33" s="295">
        <f>1+1</f>
        <v>2</v>
      </c>
    </row>
    <row r="34" spans="1:13" ht="19.5" customHeight="1">
      <c r="A34" s="291"/>
      <c r="B34" s="292"/>
      <c r="C34" s="782" t="s">
        <v>157</v>
      </c>
      <c r="D34" s="782"/>
      <c r="E34" s="782"/>
      <c r="F34" s="782"/>
      <c r="G34" s="782"/>
      <c r="H34" s="782"/>
      <c r="I34" s="782"/>
      <c r="J34" s="783"/>
      <c r="K34" s="285" t="s">
        <v>352</v>
      </c>
      <c r="L34" s="295">
        <v>1</v>
      </c>
      <c r="M34" s="35" t="s">
        <v>985</v>
      </c>
    </row>
    <row r="35" spans="1:12" ht="19.5" customHeight="1">
      <c r="A35" s="291"/>
      <c r="B35" s="292"/>
      <c r="C35" s="782" t="s">
        <v>158</v>
      </c>
      <c r="D35" s="782"/>
      <c r="E35" s="782"/>
      <c r="F35" s="782"/>
      <c r="G35" s="782"/>
      <c r="H35" s="782"/>
      <c r="I35" s="782"/>
      <c r="J35" s="783"/>
      <c r="K35" s="285" t="s">
        <v>352</v>
      </c>
      <c r="L35" s="295">
        <v>25</v>
      </c>
    </row>
    <row r="36" spans="1:12" ht="19.5" customHeight="1">
      <c r="A36" s="779" t="s">
        <v>268</v>
      </c>
      <c r="B36" s="779"/>
      <c r="C36" s="779"/>
      <c r="D36" s="779"/>
      <c r="E36" s="779"/>
      <c r="F36" s="779"/>
      <c r="G36" s="779"/>
      <c r="H36" s="780"/>
      <c r="I36" s="780"/>
      <c r="J36" s="780"/>
      <c r="K36" s="284" t="s">
        <v>159</v>
      </c>
      <c r="L36" s="297">
        <f>1859+360.6+81.9+1432.5</f>
        <v>3734</v>
      </c>
    </row>
    <row r="37" spans="1:12" ht="19.5" customHeight="1">
      <c r="A37" s="291"/>
      <c r="B37" s="292"/>
      <c r="C37" s="782" t="s">
        <v>343</v>
      </c>
      <c r="D37" s="782"/>
      <c r="E37" s="782"/>
      <c r="F37" s="782"/>
      <c r="G37" s="782"/>
      <c r="H37" s="782"/>
      <c r="I37" s="782"/>
      <c r="J37" s="783"/>
      <c r="K37" s="285"/>
      <c r="L37" s="296"/>
    </row>
    <row r="38" spans="1:12" ht="19.5" customHeight="1">
      <c r="A38" s="291"/>
      <c r="B38" s="292"/>
      <c r="C38" s="782" t="s">
        <v>354</v>
      </c>
      <c r="D38" s="782"/>
      <c r="E38" s="782"/>
      <c r="F38" s="782"/>
      <c r="G38" s="782"/>
      <c r="H38" s="782"/>
      <c r="I38" s="782"/>
      <c r="J38" s="783"/>
      <c r="K38" s="285" t="s">
        <v>159</v>
      </c>
      <c r="L38" s="296">
        <v>459.8</v>
      </c>
    </row>
    <row r="39" spans="1:12" ht="19.5" customHeight="1">
      <c r="A39" s="291"/>
      <c r="B39" s="782" t="s">
        <v>355</v>
      </c>
      <c r="C39" s="782"/>
      <c r="D39" s="782"/>
      <c r="E39" s="782"/>
      <c r="F39" s="782"/>
      <c r="G39" s="782"/>
      <c r="H39" s="782"/>
      <c r="I39" s="782"/>
      <c r="J39" s="783"/>
      <c r="K39" s="285" t="s">
        <v>159</v>
      </c>
      <c r="L39" s="296">
        <v>352.4</v>
      </c>
    </row>
    <row r="40" spans="1:12" s="279" customFormat="1" ht="19.5" customHeight="1">
      <c r="A40" s="779" t="s">
        <v>356</v>
      </c>
      <c r="B40" s="779"/>
      <c r="C40" s="779"/>
      <c r="D40" s="779"/>
      <c r="E40" s="779"/>
      <c r="F40" s="779"/>
      <c r="G40" s="779"/>
      <c r="H40" s="779"/>
      <c r="I40" s="779"/>
      <c r="J40" s="779"/>
      <c r="K40" s="284" t="s">
        <v>159</v>
      </c>
      <c r="L40" s="297">
        <v>0</v>
      </c>
    </row>
    <row r="41" spans="1:12" s="279" customFormat="1" ht="37.5" customHeight="1">
      <c r="A41" s="779" t="s">
        <v>357</v>
      </c>
      <c r="B41" s="779"/>
      <c r="C41" s="779"/>
      <c r="D41" s="779"/>
      <c r="E41" s="779"/>
      <c r="F41" s="779"/>
      <c r="G41" s="779"/>
      <c r="H41" s="779"/>
      <c r="I41" s="779"/>
      <c r="J41" s="779"/>
      <c r="K41" s="284" t="s">
        <v>159</v>
      </c>
      <c r="L41" s="297">
        <v>0</v>
      </c>
    </row>
    <row r="42" ht="15.75"/>
    <row r="43" spans="1:12" ht="15.75">
      <c r="A43" s="784" t="s">
        <v>591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35"/>
    </row>
    <row r="44" spans="1:13" ht="15.75">
      <c r="A44" s="785" t="s">
        <v>340</v>
      </c>
      <c r="B44" s="785"/>
      <c r="C44" s="785"/>
      <c r="D44" s="785"/>
      <c r="E44" s="785"/>
      <c r="F44" s="785"/>
      <c r="G44" s="785"/>
      <c r="H44" s="786"/>
      <c r="I44" s="786"/>
      <c r="J44" s="786"/>
      <c r="K44" s="286" t="s">
        <v>358</v>
      </c>
      <c r="L44" s="200"/>
      <c r="M44" s="200"/>
    </row>
    <row r="45" spans="1:12" ht="15.75">
      <c r="A45" s="779" t="s">
        <v>269</v>
      </c>
      <c r="B45" s="779"/>
      <c r="C45" s="779"/>
      <c r="D45" s="779"/>
      <c r="E45" s="779"/>
      <c r="F45" s="779"/>
      <c r="G45" s="779"/>
      <c r="H45" s="780"/>
      <c r="I45" s="780"/>
      <c r="J45" s="780"/>
      <c r="K45" s="287">
        <f>L3</f>
        <v>34849774.4</v>
      </c>
      <c r="L45" s="35"/>
    </row>
    <row r="46" spans="1:16" ht="15.75">
      <c r="A46" s="288"/>
      <c r="B46" s="781" t="s">
        <v>359</v>
      </c>
      <c r="C46" s="781"/>
      <c r="D46" s="781"/>
      <c r="E46" s="781"/>
      <c r="F46" s="781"/>
      <c r="G46" s="289"/>
      <c r="H46" s="289"/>
      <c r="I46" s="289"/>
      <c r="J46" s="289"/>
      <c r="K46" s="290"/>
      <c r="L46" s="34"/>
      <c r="M46" s="34"/>
      <c r="N46" s="34"/>
      <c r="O46" s="34"/>
      <c r="P46" s="34"/>
    </row>
    <row r="47" spans="1:12" ht="15.75">
      <c r="A47" s="291"/>
      <c r="B47" s="782" t="s">
        <v>360</v>
      </c>
      <c r="C47" s="782"/>
      <c r="D47" s="782"/>
      <c r="E47" s="782"/>
      <c r="F47" s="782"/>
      <c r="G47" s="782"/>
      <c r="H47" s="782"/>
      <c r="I47" s="782"/>
      <c r="J47" s="783"/>
      <c r="K47" s="293">
        <f>L5</f>
        <v>34849774.4</v>
      </c>
      <c r="L47" s="35"/>
    </row>
    <row r="48" spans="1:16" ht="15.75">
      <c r="A48" s="288"/>
      <c r="B48" s="289"/>
      <c r="C48" s="781" t="s">
        <v>343</v>
      </c>
      <c r="D48" s="781"/>
      <c r="E48" s="781"/>
      <c r="F48" s="781"/>
      <c r="G48" s="781"/>
      <c r="H48" s="781"/>
      <c r="I48" s="781"/>
      <c r="J48" s="789"/>
      <c r="K48" s="299"/>
      <c r="L48" s="34"/>
      <c r="M48" s="34"/>
      <c r="N48" s="34"/>
      <c r="O48" s="34"/>
      <c r="P48" s="34"/>
    </row>
    <row r="49" spans="1:12" ht="15.75">
      <c r="A49" s="291"/>
      <c r="B49" s="292"/>
      <c r="C49" s="782" t="s">
        <v>361</v>
      </c>
      <c r="D49" s="782"/>
      <c r="E49" s="782"/>
      <c r="F49" s="782"/>
      <c r="G49" s="782"/>
      <c r="H49" s="782"/>
      <c r="I49" s="782"/>
      <c r="J49" s="783"/>
      <c r="K49" s="293">
        <f>L18</f>
        <v>18179131.98</v>
      </c>
      <c r="L49" s="35"/>
    </row>
    <row r="50" spans="1:12" ht="15.75">
      <c r="A50" s="291"/>
      <c r="B50" s="782" t="s">
        <v>362</v>
      </c>
      <c r="C50" s="782"/>
      <c r="D50" s="782"/>
      <c r="E50" s="782"/>
      <c r="F50" s="782"/>
      <c r="G50" s="782"/>
      <c r="H50" s="782"/>
      <c r="I50" s="782"/>
      <c r="J50" s="783"/>
      <c r="K50" s="293">
        <f>L17</f>
        <v>8380167.37</v>
      </c>
      <c r="L50" s="35"/>
    </row>
    <row r="51" spans="1:16" ht="15.75">
      <c r="A51" s="288"/>
      <c r="B51" s="289"/>
      <c r="C51" s="781" t="s">
        <v>343</v>
      </c>
      <c r="D51" s="781"/>
      <c r="E51" s="781"/>
      <c r="F51" s="781"/>
      <c r="G51" s="781"/>
      <c r="H51" s="781"/>
      <c r="I51" s="781"/>
      <c r="J51" s="789"/>
      <c r="K51" s="299"/>
      <c r="L51" s="34"/>
      <c r="M51" s="34"/>
      <c r="N51" s="34"/>
      <c r="O51" s="34"/>
      <c r="P51" s="34"/>
    </row>
    <row r="52" spans="1:12" ht="15.75">
      <c r="A52" s="291"/>
      <c r="B52" s="292"/>
      <c r="C52" s="782" t="s">
        <v>361</v>
      </c>
      <c r="D52" s="782"/>
      <c r="E52" s="782"/>
      <c r="F52" s="782"/>
      <c r="G52" s="782"/>
      <c r="H52" s="782"/>
      <c r="I52" s="782"/>
      <c r="J52" s="783"/>
      <c r="K52" s="293">
        <f>L30</f>
        <v>3003012.2</v>
      </c>
      <c r="L52" s="35"/>
    </row>
    <row r="53" spans="1:12" ht="15.75">
      <c r="A53" s="779" t="s">
        <v>270</v>
      </c>
      <c r="B53" s="779"/>
      <c r="C53" s="779"/>
      <c r="D53" s="779"/>
      <c r="E53" s="779"/>
      <c r="F53" s="779"/>
      <c r="G53" s="779"/>
      <c r="H53" s="780"/>
      <c r="I53" s="780"/>
      <c r="J53" s="780"/>
      <c r="K53" s="287">
        <f>K55+K59+K60+K61</f>
        <v>1909947.67</v>
      </c>
      <c r="L53" s="35"/>
    </row>
    <row r="54" spans="1:16" ht="15.75">
      <c r="A54" s="288"/>
      <c r="B54" s="781" t="s">
        <v>359</v>
      </c>
      <c r="C54" s="781"/>
      <c r="D54" s="781"/>
      <c r="E54" s="781"/>
      <c r="F54" s="781"/>
      <c r="G54" s="289"/>
      <c r="H54" s="289"/>
      <c r="I54" s="289"/>
      <c r="J54" s="289"/>
      <c r="K54" s="290"/>
      <c r="L54" s="34"/>
      <c r="M54" s="34"/>
      <c r="N54" s="34"/>
      <c r="O54" s="34"/>
      <c r="P54" s="34"/>
    </row>
    <row r="55" spans="1:14" ht="15.75">
      <c r="A55" s="291"/>
      <c r="B55" s="782" t="s">
        <v>160</v>
      </c>
      <c r="C55" s="782"/>
      <c r="D55" s="782"/>
      <c r="E55" s="782"/>
      <c r="F55" s="782"/>
      <c r="G55" s="782"/>
      <c r="H55" s="782"/>
      <c r="I55" s="782"/>
      <c r="J55" s="783"/>
      <c r="K55" s="293">
        <v>1044978.53</v>
      </c>
      <c r="L55" s="35"/>
      <c r="M55" s="279"/>
      <c r="N55" s="716"/>
    </row>
    <row r="56" spans="1:16" ht="15.75">
      <c r="A56" s="288"/>
      <c r="B56" s="289"/>
      <c r="C56" s="781" t="s">
        <v>343</v>
      </c>
      <c r="D56" s="781"/>
      <c r="E56" s="781"/>
      <c r="F56" s="781"/>
      <c r="G56" s="781"/>
      <c r="H56" s="781"/>
      <c r="I56" s="781"/>
      <c r="J56" s="789"/>
      <c r="K56" s="299"/>
      <c r="L56" s="34"/>
      <c r="M56" s="34"/>
      <c r="N56" s="34"/>
      <c r="O56" s="34"/>
      <c r="P56" s="34"/>
    </row>
    <row r="57" spans="1:12" ht="15.75">
      <c r="A57" s="291"/>
      <c r="B57" s="292"/>
      <c r="C57" s="782" t="s">
        <v>161</v>
      </c>
      <c r="D57" s="782"/>
      <c r="E57" s="782"/>
      <c r="F57" s="782"/>
      <c r="G57" s="782"/>
      <c r="H57" s="782"/>
      <c r="I57" s="782"/>
      <c r="J57" s="783"/>
      <c r="K57" s="293">
        <v>990328.53</v>
      </c>
      <c r="L57" s="35"/>
    </row>
    <row r="58" spans="1:12" ht="15.75">
      <c r="A58" s="291"/>
      <c r="B58" s="292"/>
      <c r="C58" s="782" t="s">
        <v>162</v>
      </c>
      <c r="D58" s="782"/>
      <c r="E58" s="782"/>
      <c r="F58" s="782"/>
      <c r="G58" s="782"/>
      <c r="H58" s="782"/>
      <c r="I58" s="782"/>
      <c r="J58" s="783"/>
      <c r="K58" s="293">
        <v>0</v>
      </c>
      <c r="L58" s="35"/>
    </row>
    <row r="59" spans="1:12" ht="15.75">
      <c r="A59" s="291"/>
      <c r="B59" s="782" t="s">
        <v>163</v>
      </c>
      <c r="C59" s="782"/>
      <c r="D59" s="782"/>
      <c r="E59" s="782"/>
      <c r="F59" s="782"/>
      <c r="G59" s="782"/>
      <c r="H59" s="782"/>
      <c r="I59" s="782"/>
      <c r="J59" s="783"/>
      <c r="K59" s="293">
        <v>0</v>
      </c>
      <c r="L59" s="35"/>
    </row>
    <row r="60" spans="1:12" ht="15.75">
      <c r="A60" s="291"/>
      <c r="B60" s="782" t="s">
        <v>363</v>
      </c>
      <c r="C60" s="782"/>
      <c r="D60" s="782"/>
      <c r="E60" s="782"/>
      <c r="F60" s="782"/>
      <c r="G60" s="782"/>
      <c r="H60" s="782"/>
      <c r="I60" s="782"/>
      <c r="J60" s="783"/>
      <c r="K60" s="717">
        <v>708673.97</v>
      </c>
      <c r="L60" s="35"/>
    </row>
    <row r="61" spans="1:12" ht="15.75">
      <c r="A61" s="291"/>
      <c r="B61" s="782" t="s">
        <v>164</v>
      </c>
      <c r="C61" s="782"/>
      <c r="D61" s="782"/>
      <c r="E61" s="782"/>
      <c r="F61" s="782"/>
      <c r="G61" s="782"/>
      <c r="H61" s="782"/>
      <c r="I61" s="782"/>
      <c r="J61" s="783"/>
      <c r="K61" s="717">
        <v>156295.17</v>
      </c>
      <c r="L61" s="35"/>
    </row>
    <row r="62" spans="1:12" ht="15.75">
      <c r="A62" s="779" t="s">
        <v>271</v>
      </c>
      <c r="B62" s="779"/>
      <c r="C62" s="779"/>
      <c r="D62" s="779"/>
      <c r="E62" s="779"/>
      <c r="F62" s="779"/>
      <c r="G62" s="779"/>
      <c r="H62" s="780"/>
      <c r="I62" s="780"/>
      <c r="J62" s="780"/>
      <c r="K62" s="287">
        <f>K64+K65</f>
        <v>1021474.02</v>
      </c>
      <c r="L62" s="35"/>
    </row>
    <row r="63" spans="1:16" ht="15.75">
      <c r="A63" s="288"/>
      <c r="B63" s="781" t="s">
        <v>359</v>
      </c>
      <c r="C63" s="781"/>
      <c r="D63" s="781"/>
      <c r="E63" s="781"/>
      <c r="F63" s="781"/>
      <c r="G63" s="289"/>
      <c r="H63" s="289"/>
      <c r="I63" s="289"/>
      <c r="J63" s="289"/>
      <c r="K63" s="290"/>
      <c r="L63" s="34"/>
      <c r="M63" s="34"/>
      <c r="N63" s="34"/>
      <c r="O63" s="34"/>
      <c r="P63" s="34"/>
    </row>
    <row r="64" spans="1:16" ht="15.75">
      <c r="A64" s="291"/>
      <c r="B64" s="782" t="s">
        <v>165</v>
      </c>
      <c r="C64" s="782"/>
      <c r="D64" s="782"/>
      <c r="E64" s="782"/>
      <c r="F64" s="782"/>
      <c r="G64" s="782"/>
      <c r="H64" s="782"/>
      <c r="I64" s="782"/>
      <c r="J64" s="783"/>
      <c r="K64" s="293">
        <v>0</v>
      </c>
      <c r="L64" s="35"/>
      <c r="O64" s="790"/>
      <c r="P64" s="790"/>
    </row>
    <row r="65" spans="1:12" ht="15.75">
      <c r="A65" s="291"/>
      <c r="B65" s="782" t="s">
        <v>166</v>
      </c>
      <c r="C65" s="782"/>
      <c r="D65" s="782"/>
      <c r="E65" s="782"/>
      <c r="F65" s="782"/>
      <c r="G65" s="782"/>
      <c r="H65" s="782"/>
      <c r="I65" s="782"/>
      <c r="J65" s="783"/>
      <c r="K65" s="293">
        <v>1021474.02</v>
      </c>
      <c r="L65" s="35"/>
    </row>
    <row r="66" spans="1:16" ht="15.75">
      <c r="A66" s="288"/>
      <c r="B66" s="289"/>
      <c r="C66" s="781" t="s">
        <v>343</v>
      </c>
      <c r="D66" s="781"/>
      <c r="E66" s="781"/>
      <c r="F66" s="781"/>
      <c r="G66" s="781"/>
      <c r="H66" s="781"/>
      <c r="I66" s="781"/>
      <c r="J66" s="789"/>
      <c r="K66" s="299"/>
      <c r="L66" s="34"/>
      <c r="M66" s="34"/>
      <c r="N66" s="34"/>
      <c r="O66" s="34"/>
      <c r="P66" s="34"/>
    </row>
    <row r="67" spans="1:12" ht="19.5" customHeight="1">
      <c r="A67" s="291"/>
      <c r="B67" s="292"/>
      <c r="C67" s="782" t="s">
        <v>364</v>
      </c>
      <c r="D67" s="782"/>
      <c r="E67" s="782"/>
      <c r="F67" s="782"/>
      <c r="G67" s="782"/>
      <c r="H67" s="782"/>
      <c r="I67" s="782"/>
      <c r="J67" s="783"/>
      <c r="K67" s="293">
        <v>0</v>
      </c>
      <c r="L67" s="35"/>
    </row>
    <row r="68" ht="15.75"/>
  </sheetData>
  <sheetProtection selectLockedCells="1" selectUnlockedCells="1"/>
  <mergeCells count="68">
    <mergeCell ref="C51:J51"/>
    <mergeCell ref="C52:J52"/>
    <mergeCell ref="O64:P64"/>
    <mergeCell ref="B65:J65"/>
    <mergeCell ref="C57:J57"/>
    <mergeCell ref="C58:J58"/>
    <mergeCell ref="A53:J53"/>
    <mergeCell ref="B54:F54"/>
    <mergeCell ref="B55:J55"/>
    <mergeCell ref="C56:J56"/>
    <mergeCell ref="C66:J66"/>
    <mergeCell ref="C67:J67"/>
    <mergeCell ref="B59:J59"/>
    <mergeCell ref="B60:J60"/>
    <mergeCell ref="B61:J61"/>
    <mergeCell ref="A62:J62"/>
    <mergeCell ref="B63:F63"/>
    <mergeCell ref="B64:J64"/>
    <mergeCell ref="B47:J47"/>
    <mergeCell ref="C48:J48"/>
    <mergeCell ref="C49:J49"/>
    <mergeCell ref="B50:J50"/>
    <mergeCell ref="A43:K43"/>
    <mergeCell ref="A44:J44"/>
    <mergeCell ref="A45:J45"/>
    <mergeCell ref="B46:F46"/>
    <mergeCell ref="C38:J38"/>
    <mergeCell ref="B39:J39"/>
    <mergeCell ref="A40:J40"/>
    <mergeCell ref="A41:J41"/>
    <mergeCell ref="C34:J34"/>
    <mergeCell ref="C35:J35"/>
    <mergeCell ref="A36:J36"/>
    <mergeCell ref="C37:J37"/>
    <mergeCell ref="C30:J30"/>
    <mergeCell ref="A31:J31"/>
    <mergeCell ref="C32:J32"/>
    <mergeCell ref="C33:J33"/>
    <mergeCell ref="B26:J26"/>
    <mergeCell ref="C27:J27"/>
    <mergeCell ref="C28:J28"/>
    <mergeCell ref="C29:J29"/>
    <mergeCell ref="B20:J20"/>
    <mergeCell ref="C21:J21"/>
    <mergeCell ref="B24:J24"/>
    <mergeCell ref="B25:J25"/>
    <mergeCell ref="C22:J22"/>
    <mergeCell ref="C23:J23"/>
    <mergeCell ref="C7:J7"/>
    <mergeCell ref="C8:J8"/>
    <mergeCell ref="M18:N19"/>
    <mergeCell ref="B19:F19"/>
    <mergeCell ref="C17:J17"/>
    <mergeCell ref="A18:J18"/>
    <mergeCell ref="C15:J15"/>
    <mergeCell ref="C16:J16"/>
    <mergeCell ref="B9:J9"/>
    <mergeCell ref="B10:J10"/>
    <mergeCell ref="A11:J11"/>
    <mergeCell ref="B12:F12"/>
    <mergeCell ref="B13:J13"/>
    <mergeCell ref="C14:J14"/>
    <mergeCell ref="A1:L1"/>
    <mergeCell ref="A2:J2"/>
    <mergeCell ref="A3:J3"/>
    <mergeCell ref="B4:F4"/>
    <mergeCell ref="B5:J5"/>
    <mergeCell ref="C6:J6"/>
  </mergeCells>
  <printOptions/>
  <pageMargins left="0.58" right="0.2" top="0.5118110236220472" bottom="0.35433070866141736" header="0.2362204724409449" footer="0.1968503937007874"/>
  <pageSetup fitToHeight="2" horizontalDpi="300" verticalDpi="300" orientation="landscape" paperSize="9" scale="86" r:id="rId3"/>
  <rowBreaks count="1" manualBreakCount="1">
    <brk id="30" max="11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94"/>
  <sheetViews>
    <sheetView tabSelected="1" zoomScale="80" zoomScaleNormal="80" zoomScaleSheetLayoutView="76" zoomScalePageLayoutView="0" workbookViewId="0" topLeftCell="A1">
      <pane xSplit="4" ySplit="7" topLeftCell="E82" activePane="bottomRight" state="frozen"/>
      <selection pane="topLeft" activeCell="G105" sqref="G105"/>
      <selection pane="topRight" activeCell="G105" sqref="G105"/>
      <selection pane="bottomLeft" activeCell="G105" sqref="G105"/>
      <selection pane="bottomRight" activeCell="K101" sqref="K101"/>
    </sheetView>
  </sheetViews>
  <sheetFormatPr defaultColWidth="9.140625" defaultRowHeight="15" customHeight="1"/>
  <cols>
    <col min="1" max="1" width="5.28125" style="6" customWidth="1"/>
    <col min="2" max="2" width="23.8515625" style="6" customWidth="1"/>
    <col min="3" max="3" width="6.00390625" style="6" customWidth="1"/>
    <col min="4" max="4" width="28.57421875" style="6" customWidth="1"/>
    <col min="5" max="5" width="16.28125" style="6" customWidth="1"/>
    <col min="6" max="6" width="15.57421875" style="6" customWidth="1"/>
    <col min="7" max="7" width="16.28125" style="6" customWidth="1"/>
    <col min="8" max="8" width="12.140625" style="6" customWidth="1"/>
    <col min="9" max="9" width="18.8515625" style="6" customWidth="1"/>
    <col min="10" max="10" width="13.57421875" style="6" customWidth="1"/>
    <col min="11" max="11" width="23.8515625" style="6" customWidth="1"/>
    <col min="12" max="12" width="20.00390625" style="6" hidden="1" customWidth="1"/>
    <col min="13" max="13" width="18.57421875" style="6" hidden="1" customWidth="1"/>
    <col min="14" max="14" width="17.140625" style="6" hidden="1" customWidth="1"/>
    <col min="15" max="15" width="19.7109375" style="6" hidden="1" customWidth="1"/>
    <col min="16" max="16" width="11.140625" style="6" hidden="1" customWidth="1"/>
    <col min="17" max="17" width="18.140625" style="6" customWidth="1"/>
    <col min="18" max="18" width="15.57421875" style="6" hidden="1" customWidth="1"/>
    <col min="19" max="19" width="12.140625" style="6" hidden="1" customWidth="1"/>
    <col min="20" max="20" width="9.421875" style="6" hidden="1" customWidth="1"/>
    <col min="21" max="21" width="14.7109375" style="6" hidden="1" customWidth="1"/>
    <col min="22" max="22" width="10.00390625" style="6" hidden="1" customWidth="1"/>
    <col min="23" max="16384" width="9.140625" style="6" customWidth="1"/>
  </cols>
  <sheetData>
    <row r="1" spans="2:11" ht="21" customHeight="1">
      <c r="B1" s="804" t="s">
        <v>365</v>
      </c>
      <c r="C1" s="804"/>
      <c r="D1" s="804"/>
      <c r="E1" s="804"/>
      <c r="F1" s="804"/>
      <c r="G1" s="804"/>
      <c r="H1" s="804"/>
      <c r="I1" s="804"/>
      <c r="J1" s="804"/>
      <c r="K1" s="322"/>
    </row>
    <row r="2" spans="1:22" ht="13.5" customHeight="1">
      <c r="A2" s="791"/>
      <c r="B2" s="792" t="s">
        <v>340</v>
      </c>
      <c r="C2" s="792" t="s">
        <v>366</v>
      </c>
      <c r="D2" s="792" t="s">
        <v>367</v>
      </c>
      <c r="E2" s="792" t="s">
        <v>368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</row>
    <row r="3" spans="1:22" ht="15" customHeight="1">
      <c r="A3" s="791"/>
      <c r="B3" s="792"/>
      <c r="C3" s="792"/>
      <c r="D3" s="792"/>
      <c r="E3" s="792" t="s">
        <v>250</v>
      </c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</row>
    <row r="4" spans="1:22" ht="12" customHeight="1">
      <c r="A4" s="791"/>
      <c r="B4" s="792"/>
      <c r="C4" s="792"/>
      <c r="D4" s="793"/>
      <c r="E4" s="796" t="s">
        <v>642</v>
      </c>
      <c r="F4" s="795" t="s">
        <v>343</v>
      </c>
      <c r="G4" s="795"/>
      <c r="H4" s="795"/>
      <c r="I4" s="795"/>
      <c r="J4" s="795"/>
      <c r="K4" s="794" t="s">
        <v>643</v>
      </c>
      <c r="L4" s="798" t="s">
        <v>343</v>
      </c>
      <c r="M4" s="798"/>
      <c r="N4" s="798"/>
      <c r="O4" s="798"/>
      <c r="P4" s="798"/>
      <c r="Q4" s="794" t="s">
        <v>644</v>
      </c>
      <c r="R4" s="795" t="s">
        <v>343</v>
      </c>
      <c r="S4" s="795"/>
      <c r="T4" s="795"/>
      <c r="U4" s="795"/>
      <c r="V4" s="795"/>
    </row>
    <row r="5" spans="1:22" ht="56.25" customHeight="1">
      <c r="A5" s="791"/>
      <c r="B5" s="792"/>
      <c r="C5" s="792"/>
      <c r="D5" s="792"/>
      <c r="E5" s="796"/>
      <c r="F5" s="792" t="s">
        <v>864</v>
      </c>
      <c r="G5" s="797" t="s">
        <v>370</v>
      </c>
      <c r="H5" s="792" t="s">
        <v>371</v>
      </c>
      <c r="I5" s="792" t="s">
        <v>372</v>
      </c>
      <c r="J5" s="792"/>
      <c r="K5" s="794"/>
      <c r="L5" s="794" t="s">
        <v>369</v>
      </c>
      <c r="M5" s="803" t="s">
        <v>370</v>
      </c>
      <c r="N5" s="794" t="s">
        <v>371</v>
      </c>
      <c r="O5" s="794" t="s">
        <v>372</v>
      </c>
      <c r="P5" s="794"/>
      <c r="Q5" s="794"/>
      <c r="R5" s="792" t="s">
        <v>369</v>
      </c>
      <c r="S5" s="797" t="s">
        <v>370</v>
      </c>
      <c r="T5" s="792" t="s">
        <v>371</v>
      </c>
      <c r="U5" s="792" t="s">
        <v>372</v>
      </c>
      <c r="V5" s="792"/>
    </row>
    <row r="6" spans="1:22" ht="107.25" customHeight="1">
      <c r="A6" s="791"/>
      <c r="B6" s="792"/>
      <c r="C6" s="792"/>
      <c r="D6" s="792"/>
      <c r="E6" s="796"/>
      <c r="F6" s="792"/>
      <c r="G6" s="797"/>
      <c r="H6" s="792"/>
      <c r="I6" s="7" t="s">
        <v>503</v>
      </c>
      <c r="J6" s="7" t="s">
        <v>374</v>
      </c>
      <c r="K6" s="794"/>
      <c r="L6" s="794"/>
      <c r="M6" s="803"/>
      <c r="N6" s="794"/>
      <c r="O6" s="451" t="s">
        <v>373</v>
      </c>
      <c r="P6" s="451" t="s">
        <v>374</v>
      </c>
      <c r="Q6" s="794"/>
      <c r="R6" s="792"/>
      <c r="S6" s="797"/>
      <c r="T6" s="792"/>
      <c r="U6" s="7" t="s">
        <v>373</v>
      </c>
      <c r="V6" s="7" t="s">
        <v>374</v>
      </c>
    </row>
    <row r="7" spans="1:22" ht="15" customHeight="1">
      <c r="A7" s="8"/>
      <c r="B7" s="7">
        <v>1</v>
      </c>
      <c r="C7" s="7">
        <v>2</v>
      </c>
      <c r="D7" s="7">
        <v>3</v>
      </c>
      <c r="E7" s="450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451">
        <v>4</v>
      </c>
      <c r="L7" s="451">
        <v>5</v>
      </c>
      <c r="M7" s="451">
        <v>6</v>
      </c>
      <c r="N7" s="451">
        <v>7</v>
      </c>
      <c r="O7" s="451">
        <v>8</v>
      </c>
      <c r="P7" s="451">
        <v>9</v>
      </c>
      <c r="Q7" s="451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</row>
    <row r="8" spans="1:22" s="198" customFormat="1" ht="30.75" customHeight="1">
      <c r="A8" s="336" t="s">
        <v>375</v>
      </c>
      <c r="B8" s="337" t="s">
        <v>376</v>
      </c>
      <c r="C8" s="338">
        <v>100</v>
      </c>
      <c r="D8" s="341" t="s">
        <v>377</v>
      </c>
      <c r="E8" s="340">
        <f>SUM(F8:I8)</f>
        <v>27864399.65</v>
      </c>
      <c r="F8" s="340">
        <f>F11</f>
        <v>13746465</v>
      </c>
      <c r="G8" s="340">
        <f>G18</f>
        <v>1177934.65</v>
      </c>
      <c r="H8" s="340">
        <f>H18</f>
        <v>0</v>
      </c>
      <c r="I8" s="340">
        <f>I10+I11+I15+I16</f>
        <v>12940000</v>
      </c>
      <c r="J8" s="340">
        <f>J18</f>
        <v>0</v>
      </c>
      <c r="K8" s="324">
        <f>SUM(K10:K17)</f>
        <v>29095610.95</v>
      </c>
      <c r="L8" s="324">
        <f aca="true" t="shared" si="0" ref="L8:Q8">SUM(L10:L17)</f>
        <v>14399065</v>
      </c>
      <c r="M8" s="324">
        <f t="shared" si="0"/>
        <v>527330.95</v>
      </c>
      <c r="N8" s="324">
        <f t="shared" si="0"/>
        <v>110370</v>
      </c>
      <c r="O8" s="324">
        <f t="shared" si="0"/>
        <v>13176137.61</v>
      </c>
      <c r="P8" s="324">
        <f t="shared" si="0"/>
        <v>110370</v>
      </c>
      <c r="Q8" s="324">
        <f t="shared" si="0"/>
        <v>29136310.95</v>
      </c>
      <c r="R8" s="196">
        <f>R11</f>
        <v>15767100</v>
      </c>
      <c r="S8" s="196">
        <f>S14</f>
        <v>416960.95</v>
      </c>
      <c r="T8" s="196">
        <v>0</v>
      </c>
      <c r="U8" s="196">
        <f>U11+U10</f>
        <v>13337442.09</v>
      </c>
      <c r="V8" s="196">
        <f>V11</f>
        <v>0</v>
      </c>
    </row>
    <row r="9" spans="1:22" s="10" customFormat="1" ht="15.75" customHeight="1">
      <c r="A9" s="11"/>
      <c r="B9" s="12" t="s">
        <v>343</v>
      </c>
      <c r="C9" s="12"/>
      <c r="D9" s="13"/>
      <c r="E9" s="323"/>
      <c r="F9" s="14"/>
      <c r="G9" s="14"/>
      <c r="H9" s="14"/>
      <c r="I9" s="14"/>
      <c r="J9" s="14"/>
      <c r="K9" s="324"/>
      <c r="L9" s="325"/>
      <c r="M9" s="325"/>
      <c r="N9" s="325"/>
      <c r="O9" s="325"/>
      <c r="P9" s="325"/>
      <c r="Q9" s="324"/>
      <c r="R9" s="14"/>
      <c r="S9" s="14"/>
      <c r="T9" s="14"/>
      <c r="U9" s="14"/>
      <c r="V9" s="14"/>
    </row>
    <row r="10" spans="1:22" s="10" customFormat="1" ht="24" customHeight="1">
      <c r="A10" s="11" t="s">
        <v>378</v>
      </c>
      <c r="B10" s="12" t="s">
        <v>379</v>
      </c>
      <c r="C10" s="12">
        <v>110</v>
      </c>
      <c r="D10" s="15" t="s">
        <v>604</v>
      </c>
      <c r="E10" s="323">
        <f>I10</f>
        <v>107200</v>
      </c>
      <c r="F10" s="14" t="s">
        <v>377</v>
      </c>
      <c r="G10" s="14" t="s">
        <v>377</v>
      </c>
      <c r="H10" s="14" t="s">
        <v>377</v>
      </c>
      <c r="I10" s="16">
        <f>820000-712800</f>
        <v>107200</v>
      </c>
      <c r="J10" s="14" t="s">
        <v>377</v>
      </c>
      <c r="K10" s="324">
        <v>820000</v>
      </c>
      <c r="L10" s="324">
        <v>110370</v>
      </c>
      <c r="M10" s="324">
        <v>110370</v>
      </c>
      <c r="N10" s="324">
        <v>110370</v>
      </c>
      <c r="O10" s="324">
        <v>110370</v>
      </c>
      <c r="P10" s="324">
        <v>110370</v>
      </c>
      <c r="Q10" s="324">
        <v>820000</v>
      </c>
      <c r="R10" s="14" t="s">
        <v>377</v>
      </c>
      <c r="S10" s="14" t="s">
        <v>377</v>
      </c>
      <c r="T10" s="14" t="s">
        <v>377</v>
      </c>
      <c r="U10" s="16">
        <v>110370</v>
      </c>
      <c r="V10" s="14" t="s">
        <v>377</v>
      </c>
    </row>
    <row r="11" spans="1:22" s="10" customFormat="1" ht="28.5" customHeight="1">
      <c r="A11" s="11" t="s">
        <v>380</v>
      </c>
      <c r="B11" s="12" t="s">
        <v>381</v>
      </c>
      <c r="C11" s="12">
        <v>120</v>
      </c>
      <c r="D11" s="15" t="s">
        <v>605</v>
      </c>
      <c r="E11" s="323">
        <f>F11+I11+J11</f>
        <v>25079265</v>
      </c>
      <c r="F11" s="364">
        <f>14609900+1750500-2247865-366070</f>
        <v>13746465</v>
      </c>
      <c r="G11" s="371" t="s">
        <v>377</v>
      </c>
      <c r="H11" s="14" t="s">
        <v>377</v>
      </c>
      <c r="I11" s="16">
        <f>10620000-256305+256305+712800</f>
        <v>11332800</v>
      </c>
      <c r="J11" s="14">
        <v>0</v>
      </c>
      <c r="K11" s="324">
        <v>28019750</v>
      </c>
      <c r="L11" s="372">
        <v>14288695</v>
      </c>
      <c r="M11" s="372" t="s">
        <v>377</v>
      </c>
      <c r="N11" s="372" t="s">
        <v>377</v>
      </c>
      <c r="O11" s="366">
        <f>12983541.61+82226</f>
        <v>13065767.61</v>
      </c>
      <c r="P11" s="372">
        <v>0</v>
      </c>
      <c r="Q11" s="324">
        <v>28060450</v>
      </c>
      <c r="R11" s="14">
        <v>15767100</v>
      </c>
      <c r="S11" s="14" t="s">
        <v>377</v>
      </c>
      <c r="T11" s="14" t="s">
        <v>377</v>
      </c>
      <c r="U11" s="16">
        <f>13144846.09+82226</f>
        <v>13227072.09</v>
      </c>
      <c r="V11" s="14">
        <v>0</v>
      </c>
    </row>
    <row r="12" spans="1:22" s="10" customFormat="1" ht="47.25" customHeight="1">
      <c r="A12" s="11" t="s">
        <v>382</v>
      </c>
      <c r="B12" s="12" t="s">
        <v>383</v>
      </c>
      <c r="C12" s="12">
        <v>130</v>
      </c>
      <c r="D12" s="15" t="s">
        <v>640</v>
      </c>
      <c r="E12" s="323">
        <v>0</v>
      </c>
      <c r="F12" s="371" t="s">
        <v>377</v>
      </c>
      <c r="G12" s="371" t="s">
        <v>377</v>
      </c>
      <c r="H12" s="14" t="s">
        <v>377</v>
      </c>
      <c r="I12" s="14">
        <v>0</v>
      </c>
      <c r="J12" s="14" t="s">
        <v>377</v>
      </c>
      <c r="K12" s="324">
        <v>0</v>
      </c>
      <c r="L12" s="325" t="s">
        <v>377</v>
      </c>
      <c r="M12" s="325" t="s">
        <v>377</v>
      </c>
      <c r="N12" s="325" t="s">
        <v>377</v>
      </c>
      <c r="O12" s="325">
        <v>0</v>
      </c>
      <c r="P12" s="325" t="s">
        <v>377</v>
      </c>
      <c r="Q12" s="324">
        <v>0</v>
      </c>
      <c r="R12" s="14" t="s">
        <v>377</v>
      </c>
      <c r="S12" s="14" t="s">
        <v>377</v>
      </c>
      <c r="T12" s="14" t="s">
        <v>377</v>
      </c>
      <c r="U12" s="14">
        <v>0</v>
      </c>
      <c r="V12" s="14" t="s">
        <v>377</v>
      </c>
    </row>
    <row r="13" spans="1:22" s="10" customFormat="1" ht="32.25" customHeight="1">
      <c r="A13" s="11" t="s">
        <v>384</v>
      </c>
      <c r="B13" s="12" t="s">
        <v>381</v>
      </c>
      <c r="C13" s="12">
        <v>140</v>
      </c>
      <c r="D13" s="15" t="s">
        <v>615</v>
      </c>
      <c r="E13" s="323">
        <v>0</v>
      </c>
      <c r="F13" s="371" t="s">
        <v>377</v>
      </c>
      <c r="G13" s="371" t="s">
        <v>377</v>
      </c>
      <c r="H13" s="14" t="s">
        <v>377</v>
      </c>
      <c r="I13" s="14">
        <v>0</v>
      </c>
      <c r="J13" s="14" t="s">
        <v>377</v>
      </c>
      <c r="K13" s="324">
        <v>0</v>
      </c>
      <c r="L13" s="325">
        <v>0</v>
      </c>
      <c r="M13" s="325">
        <v>0</v>
      </c>
      <c r="N13" s="325">
        <v>0</v>
      </c>
      <c r="O13" s="325">
        <v>0</v>
      </c>
      <c r="P13" s="325">
        <v>0</v>
      </c>
      <c r="Q13" s="324">
        <v>0</v>
      </c>
      <c r="R13" s="14"/>
      <c r="S13" s="14"/>
      <c r="T13" s="14"/>
      <c r="U13" s="14"/>
      <c r="V13" s="14"/>
    </row>
    <row r="14" spans="1:22" s="10" customFormat="1" ht="44.25" customHeight="1">
      <c r="A14" s="11" t="s">
        <v>386</v>
      </c>
      <c r="B14" s="12" t="s">
        <v>385</v>
      </c>
      <c r="C14" s="12">
        <v>150</v>
      </c>
      <c r="D14" s="15" t="s">
        <v>606</v>
      </c>
      <c r="E14" s="323">
        <f>G14</f>
        <v>1177934.65</v>
      </c>
      <c r="F14" s="371" t="s">
        <v>377</v>
      </c>
      <c r="G14" s="364">
        <f>G18</f>
        <v>1177934.65</v>
      </c>
      <c r="H14" s="16">
        <v>0</v>
      </c>
      <c r="I14" s="14" t="s">
        <v>377</v>
      </c>
      <c r="J14" s="14" t="s">
        <v>377</v>
      </c>
      <c r="K14" s="324">
        <v>255860.95</v>
      </c>
      <c r="L14" s="325" t="s">
        <v>377</v>
      </c>
      <c r="M14" s="326">
        <v>416960.95</v>
      </c>
      <c r="N14" s="326">
        <v>0</v>
      </c>
      <c r="O14" s="325" t="s">
        <v>377</v>
      </c>
      <c r="P14" s="325" t="s">
        <v>377</v>
      </c>
      <c r="Q14" s="324">
        <v>255860.95</v>
      </c>
      <c r="R14" s="14" t="s">
        <v>377</v>
      </c>
      <c r="S14" s="16">
        <v>416960.95</v>
      </c>
      <c r="T14" s="16">
        <v>0</v>
      </c>
      <c r="U14" s="14" t="s">
        <v>377</v>
      </c>
      <c r="V14" s="14" t="s">
        <v>377</v>
      </c>
    </row>
    <row r="15" spans="1:22" s="10" customFormat="1" ht="27.75" customHeight="1">
      <c r="A15" s="11" t="s">
        <v>388</v>
      </c>
      <c r="B15" s="12" t="s">
        <v>387</v>
      </c>
      <c r="C15" s="12">
        <v>160</v>
      </c>
      <c r="D15" s="15" t="s">
        <v>606</v>
      </c>
      <c r="E15" s="323">
        <f>I15</f>
        <v>0</v>
      </c>
      <c r="F15" s="14">
        <v>0</v>
      </c>
      <c r="G15" s="14">
        <v>0</v>
      </c>
      <c r="H15" s="14">
        <v>0</v>
      </c>
      <c r="I15" s="16">
        <f>256305-256305</f>
        <v>0</v>
      </c>
      <c r="J15" s="14">
        <v>0</v>
      </c>
      <c r="K15" s="324">
        <v>0</v>
      </c>
      <c r="L15" s="325" t="s">
        <v>377</v>
      </c>
      <c r="M15" s="325" t="s">
        <v>377</v>
      </c>
      <c r="N15" s="325" t="s">
        <v>377</v>
      </c>
      <c r="O15" s="325">
        <v>0</v>
      </c>
      <c r="P15" s="325">
        <v>0</v>
      </c>
      <c r="Q15" s="324">
        <f>U15</f>
        <v>0</v>
      </c>
      <c r="R15" s="14" t="s">
        <v>377</v>
      </c>
      <c r="S15" s="14" t="s">
        <v>377</v>
      </c>
      <c r="T15" s="14" t="s">
        <v>377</v>
      </c>
      <c r="U15" s="14"/>
      <c r="V15" s="14">
        <v>0</v>
      </c>
    </row>
    <row r="16" spans="1:22" s="10" customFormat="1" ht="27.75" customHeight="1">
      <c r="A16" s="11" t="s">
        <v>610</v>
      </c>
      <c r="B16" s="12" t="s">
        <v>1092</v>
      </c>
      <c r="C16" s="12">
        <v>180</v>
      </c>
      <c r="D16" s="17" t="s">
        <v>1091</v>
      </c>
      <c r="E16" s="323">
        <f>I16</f>
        <v>1500000</v>
      </c>
      <c r="F16" s="14">
        <v>0</v>
      </c>
      <c r="G16" s="14">
        <v>0</v>
      </c>
      <c r="H16" s="14">
        <v>0</v>
      </c>
      <c r="I16" s="16">
        <v>1500000</v>
      </c>
      <c r="J16" s="14" t="s">
        <v>377</v>
      </c>
      <c r="K16" s="324">
        <v>0</v>
      </c>
      <c r="L16" s="325" t="s">
        <v>377</v>
      </c>
      <c r="M16" s="325" t="s">
        <v>377</v>
      </c>
      <c r="N16" s="325" t="s">
        <v>377</v>
      </c>
      <c r="O16" s="325">
        <v>0</v>
      </c>
      <c r="P16" s="325" t="s">
        <v>377</v>
      </c>
      <c r="Q16" s="324">
        <f>U16</f>
        <v>0</v>
      </c>
      <c r="R16" s="14" t="s">
        <v>377</v>
      </c>
      <c r="S16" s="14" t="s">
        <v>377</v>
      </c>
      <c r="T16" s="14" t="s">
        <v>377</v>
      </c>
      <c r="U16" s="14"/>
      <c r="V16" s="14" t="s">
        <v>377</v>
      </c>
    </row>
    <row r="17" spans="1:22" s="10" customFormat="1" ht="27.75" customHeight="1">
      <c r="A17" s="11" t="s">
        <v>1090</v>
      </c>
      <c r="B17" s="12" t="s">
        <v>389</v>
      </c>
      <c r="C17" s="12">
        <v>180</v>
      </c>
      <c r="D17" s="17" t="s">
        <v>390</v>
      </c>
      <c r="E17" s="323">
        <f>I17</f>
        <v>0</v>
      </c>
      <c r="F17" s="14" t="s">
        <v>377</v>
      </c>
      <c r="G17" s="14" t="s">
        <v>377</v>
      </c>
      <c r="H17" s="14" t="s">
        <v>377</v>
      </c>
      <c r="I17" s="14">
        <v>0</v>
      </c>
      <c r="J17" s="14" t="s">
        <v>377</v>
      </c>
      <c r="K17" s="324">
        <v>0</v>
      </c>
      <c r="L17" s="325" t="s">
        <v>377</v>
      </c>
      <c r="M17" s="325" t="s">
        <v>377</v>
      </c>
      <c r="N17" s="325" t="s">
        <v>377</v>
      </c>
      <c r="O17" s="325">
        <v>0</v>
      </c>
      <c r="P17" s="325" t="s">
        <v>377</v>
      </c>
      <c r="Q17" s="324">
        <f>U17</f>
        <v>0</v>
      </c>
      <c r="R17" s="14" t="s">
        <v>377</v>
      </c>
      <c r="S17" s="14" t="s">
        <v>377</v>
      </c>
      <c r="T17" s="14" t="s">
        <v>377</v>
      </c>
      <c r="U17" s="14"/>
      <c r="V17" s="14" t="s">
        <v>377</v>
      </c>
    </row>
    <row r="18" spans="1:22" s="198" customFormat="1" ht="27.75" customHeight="1">
      <c r="A18" s="336" t="s">
        <v>391</v>
      </c>
      <c r="B18" s="337" t="s">
        <v>392</v>
      </c>
      <c r="C18" s="338">
        <v>200</v>
      </c>
      <c r="D18" s="339" t="s">
        <v>377</v>
      </c>
      <c r="E18" s="340">
        <f>SUM(F18:I18)</f>
        <v>28884107.78</v>
      </c>
      <c r="F18" s="340">
        <f>F19+F28+F33+F39+F40+F42</f>
        <v>13864076.46</v>
      </c>
      <c r="G18" s="340">
        <f>G19+G28+G33+G39+G40+G42</f>
        <v>1177934.65</v>
      </c>
      <c r="H18" s="340">
        <f>H19+H28+H33+H39+H40+H42</f>
        <v>0</v>
      </c>
      <c r="I18" s="340">
        <f>I19+I28+I33+I39+I40+I42</f>
        <v>13842096.67</v>
      </c>
      <c r="J18" s="340">
        <f>J19+J28+J33+J39+J40+J42</f>
        <v>0</v>
      </c>
      <c r="K18" s="340">
        <f aca="true" t="shared" si="1" ref="K18:Q18">K19+K28+K33+K40+K42</f>
        <v>29104090.95</v>
      </c>
      <c r="L18" s="340">
        <f t="shared" si="1"/>
        <v>22018560</v>
      </c>
      <c r="M18" s="340">
        <f t="shared" si="1"/>
        <v>415390.95</v>
      </c>
      <c r="N18" s="340">
        <f t="shared" si="1"/>
        <v>0</v>
      </c>
      <c r="O18" s="340">
        <f t="shared" si="1"/>
        <v>18909026.75</v>
      </c>
      <c r="P18" s="340">
        <f t="shared" si="1"/>
        <v>0</v>
      </c>
      <c r="Q18" s="340">
        <f t="shared" si="1"/>
        <v>29144790.95</v>
      </c>
      <c r="R18" s="196" t="e">
        <f>R19+R28+R33+R39+R40+R42</f>
        <v>#REF!</v>
      </c>
      <c r="S18" s="196">
        <f>S20+S28+S33+S39+S42+S40</f>
        <v>416960.95</v>
      </c>
      <c r="T18" s="196" t="e">
        <f>T20+T28+T33+T39+T42+T40</f>
        <v>#REF!</v>
      </c>
      <c r="U18" s="196" t="e">
        <f>U20+U28+U33+U39+U42+U40</f>
        <v>#REF!</v>
      </c>
      <c r="V18" s="197" t="e">
        <f>V20+V28+V33+V39+V42</f>
        <v>#REF!</v>
      </c>
    </row>
    <row r="19" spans="1:22" s="10" customFormat="1" ht="25.5" customHeight="1">
      <c r="A19" s="329"/>
      <c r="B19" s="330" t="s">
        <v>393</v>
      </c>
      <c r="C19" s="330">
        <v>210</v>
      </c>
      <c r="D19" s="331" t="s">
        <v>377</v>
      </c>
      <c r="E19" s="332">
        <f>E20</f>
        <v>18199626.67</v>
      </c>
      <c r="F19" s="333">
        <f aca="true" t="shared" si="2" ref="F19:V19">F20</f>
        <v>11255500</v>
      </c>
      <c r="G19" s="333">
        <f t="shared" si="2"/>
        <v>0</v>
      </c>
      <c r="H19" s="333">
        <f t="shared" si="2"/>
        <v>0</v>
      </c>
      <c r="I19" s="333">
        <f>I20</f>
        <v>6944126.67</v>
      </c>
      <c r="J19" s="333">
        <f t="shared" si="2"/>
        <v>0</v>
      </c>
      <c r="K19" s="327">
        <f>K20</f>
        <v>18477200</v>
      </c>
      <c r="L19" s="327">
        <f aca="true" t="shared" si="3" ref="L19:Q19">L20</f>
        <v>16872500</v>
      </c>
      <c r="M19" s="327">
        <f t="shared" si="3"/>
        <v>0</v>
      </c>
      <c r="N19" s="327">
        <f t="shared" si="3"/>
        <v>0</v>
      </c>
      <c r="O19" s="327">
        <f t="shared" si="3"/>
        <v>13707053.459999999</v>
      </c>
      <c r="P19" s="327">
        <f t="shared" si="3"/>
        <v>0</v>
      </c>
      <c r="Q19" s="327">
        <f t="shared" si="3"/>
        <v>18477200</v>
      </c>
      <c r="R19" s="18">
        <f>R20</f>
        <v>16872500</v>
      </c>
      <c r="S19" s="18">
        <f t="shared" si="2"/>
        <v>0</v>
      </c>
      <c r="T19" s="18">
        <f t="shared" si="2"/>
        <v>0</v>
      </c>
      <c r="U19" s="18">
        <f t="shared" si="2"/>
        <v>10369818.4</v>
      </c>
      <c r="V19" s="18">
        <f t="shared" si="2"/>
        <v>0</v>
      </c>
    </row>
    <row r="20" spans="1:22" s="10" customFormat="1" ht="44.25" customHeight="1">
      <c r="A20" s="329" t="s">
        <v>394</v>
      </c>
      <c r="B20" s="330" t="s">
        <v>395</v>
      </c>
      <c r="C20" s="330">
        <v>211</v>
      </c>
      <c r="D20" s="331" t="s">
        <v>377</v>
      </c>
      <c r="E20" s="334">
        <f>F20+G20+H20+I20</f>
        <v>18199626.67</v>
      </c>
      <c r="F20" s="335">
        <f>SUM(F22:F27)</f>
        <v>11255500</v>
      </c>
      <c r="G20" s="335">
        <f>'Пр. №4 2019 год '!F10</f>
        <v>0</v>
      </c>
      <c r="H20" s="335">
        <f>'Пр. №4 2019 год '!G9</f>
        <v>0</v>
      </c>
      <c r="I20" s="335">
        <f>SUM(I22:I27)</f>
        <v>6944126.67</v>
      </c>
      <c r="J20" s="335">
        <f>'Пр. №4 2019 год '!J10</f>
        <v>0</v>
      </c>
      <c r="K20" s="327">
        <f>SUM(K22:K27)</f>
        <v>18477200</v>
      </c>
      <c r="L20" s="327">
        <f>SUM(L22:L25)</f>
        <v>16872500</v>
      </c>
      <c r="M20" s="327">
        <f>SUM(M22:M25)</f>
        <v>0</v>
      </c>
      <c r="N20" s="327">
        <f>SUM(N22:N25)</f>
        <v>0</v>
      </c>
      <c r="O20" s="327">
        <f>SUM(O22:O25)</f>
        <v>13707053.459999999</v>
      </c>
      <c r="P20" s="327">
        <f>SUM(P22:P25)</f>
        <v>0</v>
      </c>
      <c r="Q20" s="327">
        <f>SUM(Q22:Q27)</f>
        <v>18477200</v>
      </c>
      <c r="R20" s="327">
        <f>SUM(R22:R25)</f>
        <v>16872500</v>
      </c>
      <c r="S20" s="327">
        <f>SUM(S22:S25)</f>
        <v>0</v>
      </c>
      <c r="T20" s="327">
        <f>SUM(T22:T25)</f>
        <v>0</v>
      </c>
      <c r="U20" s="327">
        <f>SUM(U22:U25)</f>
        <v>10369818.4</v>
      </c>
      <c r="V20" s="327">
        <f>SUM(V22:V25)</f>
        <v>0</v>
      </c>
    </row>
    <row r="21" spans="1:22" s="10" customFormat="1" ht="79.5" customHeight="1" hidden="1">
      <c r="A21" s="11"/>
      <c r="B21" s="12"/>
      <c r="C21" s="12"/>
      <c r="D21" s="20"/>
      <c r="E21" s="323"/>
      <c r="F21" s="14"/>
      <c r="G21" s="14"/>
      <c r="H21" s="14"/>
      <c r="I21" s="14"/>
      <c r="J21" s="14"/>
      <c r="K21" s="324"/>
      <c r="L21" s="325"/>
      <c r="M21" s="325"/>
      <c r="N21" s="325"/>
      <c r="O21" s="325"/>
      <c r="P21" s="325"/>
      <c r="Q21" s="328"/>
      <c r="R21" s="14"/>
      <c r="S21" s="14"/>
      <c r="T21" s="14"/>
      <c r="U21" s="14"/>
      <c r="V21" s="14"/>
    </row>
    <row r="22" spans="1:22" s="10" customFormat="1" ht="30.75" customHeight="1">
      <c r="A22" s="11" t="s">
        <v>378</v>
      </c>
      <c r="B22" s="362" t="s">
        <v>837</v>
      </c>
      <c r="C22" s="7"/>
      <c r="D22" s="21" t="s">
        <v>661</v>
      </c>
      <c r="E22" s="323">
        <f aca="true" t="shared" si="4" ref="E22:E31">F22+G22+H22+I22</f>
        <v>12480700</v>
      </c>
      <c r="F22" s="16">
        <f>7279500-149400+12000</f>
        <v>7142100</v>
      </c>
      <c r="G22" s="16">
        <v>0</v>
      </c>
      <c r="H22" s="16">
        <v>0</v>
      </c>
      <c r="I22" s="16">
        <f>5556600-78000-140000</f>
        <v>5338600</v>
      </c>
      <c r="J22" s="16">
        <v>0</v>
      </c>
      <c r="K22" s="324">
        <v>12686700</v>
      </c>
      <c r="L22" s="326">
        <v>7329500</v>
      </c>
      <c r="M22" s="326">
        <v>0</v>
      </c>
      <c r="N22" s="326">
        <v>0</v>
      </c>
      <c r="O22" s="120">
        <v>5950653.27</v>
      </c>
      <c r="P22" s="326">
        <v>0</v>
      </c>
      <c r="Q22" s="324">
        <v>12686700</v>
      </c>
      <c r="R22" s="16">
        <v>7329500</v>
      </c>
      <c r="S22" s="16">
        <v>0</v>
      </c>
      <c r="T22" s="16">
        <v>0</v>
      </c>
      <c r="U22" s="16">
        <f>-500000+5004700</f>
        <v>4504700</v>
      </c>
      <c r="V22" s="16">
        <v>0</v>
      </c>
    </row>
    <row r="23" spans="1:22" s="10" customFormat="1" ht="31.5" customHeight="1">
      <c r="A23" s="11" t="s">
        <v>380</v>
      </c>
      <c r="B23" s="362" t="s">
        <v>837</v>
      </c>
      <c r="C23" s="7"/>
      <c r="D23" s="21" t="s">
        <v>656</v>
      </c>
      <c r="E23" s="323">
        <f t="shared" si="4"/>
        <v>149400</v>
      </c>
      <c r="F23" s="16">
        <f>149400</f>
        <v>149400</v>
      </c>
      <c r="G23" s="16">
        <v>0</v>
      </c>
      <c r="H23" s="16">
        <v>0</v>
      </c>
      <c r="I23" s="16">
        <v>0</v>
      </c>
      <c r="J23" s="16">
        <v>0</v>
      </c>
      <c r="K23" s="324">
        <v>149400</v>
      </c>
      <c r="L23" s="326">
        <v>7329500</v>
      </c>
      <c r="M23" s="326">
        <v>0</v>
      </c>
      <c r="N23" s="326">
        <v>0</v>
      </c>
      <c r="O23" s="120">
        <v>5950653.27</v>
      </c>
      <c r="P23" s="326">
        <v>0</v>
      </c>
      <c r="Q23" s="324">
        <v>149400</v>
      </c>
      <c r="R23" s="16">
        <v>7329500</v>
      </c>
      <c r="S23" s="16">
        <v>0</v>
      </c>
      <c r="T23" s="16">
        <v>0</v>
      </c>
      <c r="U23" s="16">
        <f>-500000+5004700</f>
        <v>4504700</v>
      </c>
      <c r="V23" s="16">
        <v>0</v>
      </c>
    </row>
    <row r="24" spans="1:22" s="10" customFormat="1" ht="32.25" customHeight="1">
      <c r="A24" s="11" t="s">
        <v>382</v>
      </c>
      <c r="B24" s="362" t="s">
        <v>895</v>
      </c>
      <c r="C24" s="7"/>
      <c r="D24" s="21" t="s">
        <v>656</v>
      </c>
      <c r="E24" s="323">
        <f t="shared" si="4"/>
        <v>1344500</v>
      </c>
      <c r="F24" s="16">
        <v>1344500</v>
      </c>
      <c r="G24" s="16">
        <v>0</v>
      </c>
      <c r="H24" s="16">
        <v>0</v>
      </c>
      <c r="I24" s="16">
        <v>0</v>
      </c>
      <c r="J24" s="16">
        <v>0</v>
      </c>
      <c r="K24" s="324">
        <v>1344500</v>
      </c>
      <c r="L24" s="326"/>
      <c r="M24" s="326"/>
      <c r="N24" s="326"/>
      <c r="O24" s="120"/>
      <c r="P24" s="326"/>
      <c r="Q24" s="324">
        <v>1344500</v>
      </c>
      <c r="R24" s="16"/>
      <c r="S24" s="16"/>
      <c r="T24" s="16"/>
      <c r="U24" s="16"/>
      <c r="V24" s="16"/>
    </row>
    <row r="25" spans="1:22" s="10" customFormat="1" ht="39.75" customHeight="1">
      <c r="A25" s="11" t="s">
        <v>384</v>
      </c>
      <c r="B25" s="362" t="s">
        <v>838</v>
      </c>
      <c r="C25" s="7"/>
      <c r="D25" s="21" t="s">
        <v>878</v>
      </c>
      <c r="E25" s="323">
        <f t="shared" si="4"/>
        <v>3773926.67</v>
      </c>
      <c r="F25" s="16">
        <f>2213500-45100</f>
        <v>2168400</v>
      </c>
      <c r="G25" s="16">
        <v>0</v>
      </c>
      <c r="H25" s="16">
        <v>0</v>
      </c>
      <c r="I25" s="16">
        <f>1677126.67-29600-42000</f>
        <v>1605526.67</v>
      </c>
      <c r="J25" s="16">
        <v>0</v>
      </c>
      <c r="K25" s="324">
        <v>3845500</v>
      </c>
      <c r="L25" s="326">
        <v>2213500</v>
      </c>
      <c r="M25" s="326">
        <v>0</v>
      </c>
      <c r="N25" s="326">
        <v>0</v>
      </c>
      <c r="O25" s="326">
        <v>1805746.92</v>
      </c>
      <c r="P25" s="326">
        <v>0</v>
      </c>
      <c r="Q25" s="324">
        <v>3845500</v>
      </c>
      <c r="R25" s="16">
        <v>2213500</v>
      </c>
      <c r="S25" s="16">
        <v>0</v>
      </c>
      <c r="T25" s="16">
        <v>0</v>
      </c>
      <c r="U25" s="16">
        <v>1360418.4</v>
      </c>
      <c r="V25" s="16">
        <v>0</v>
      </c>
    </row>
    <row r="26" spans="1:22" s="10" customFormat="1" ht="40.5" customHeight="1">
      <c r="A26" s="11" t="s">
        <v>236</v>
      </c>
      <c r="B26" s="362" t="s">
        <v>838</v>
      </c>
      <c r="C26" s="7"/>
      <c r="D26" s="21" t="s">
        <v>657</v>
      </c>
      <c r="E26" s="323">
        <f>F26+G26+H26+I26</f>
        <v>45100</v>
      </c>
      <c r="F26" s="16">
        <f>45100</f>
        <v>45100</v>
      </c>
      <c r="G26" s="16">
        <v>0</v>
      </c>
      <c r="H26" s="16">
        <v>0</v>
      </c>
      <c r="I26" s="16">
        <v>0</v>
      </c>
      <c r="J26" s="16">
        <v>0</v>
      </c>
      <c r="K26" s="324">
        <v>45100</v>
      </c>
      <c r="L26" s="326">
        <v>2213500</v>
      </c>
      <c r="M26" s="326">
        <v>0</v>
      </c>
      <c r="N26" s="326">
        <v>0</v>
      </c>
      <c r="O26" s="326">
        <v>1805746.92</v>
      </c>
      <c r="P26" s="326">
        <v>0</v>
      </c>
      <c r="Q26" s="324">
        <v>45100</v>
      </c>
      <c r="R26" s="16"/>
      <c r="S26" s="16"/>
      <c r="T26" s="16"/>
      <c r="U26" s="16"/>
      <c r="V26" s="16"/>
    </row>
    <row r="27" spans="1:22" s="10" customFormat="1" ht="40.5" customHeight="1">
      <c r="A27" s="11" t="s">
        <v>237</v>
      </c>
      <c r="B27" s="362" t="s">
        <v>839</v>
      </c>
      <c r="C27" s="7"/>
      <c r="D27" s="21" t="s">
        <v>657</v>
      </c>
      <c r="E27" s="323">
        <f t="shared" si="4"/>
        <v>406000</v>
      </c>
      <c r="F27" s="16">
        <v>406000</v>
      </c>
      <c r="G27" s="16">
        <v>0</v>
      </c>
      <c r="H27" s="16">
        <v>0</v>
      </c>
      <c r="I27" s="16">
        <v>0</v>
      </c>
      <c r="J27" s="16">
        <v>0</v>
      </c>
      <c r="K27" s="324">
        <v>406000</v>
      </c>
      <c r="L27" s="326">
        <v>2213500</v>
      </c>
      <c r="M27" s="326">
        <v>0</v>
      </c>
      <c r="N27" s="326">
        <v>0</v>
      </c>
      <c r="O27" s="326">
        <v>1805746.92</v>
      </c>
      <c r="P27" s="326">
        <v>0</v>
      </c>
      <c r="Q27" s="324">
        <v>406000</v>
      </c>
      <c r="R27" s="16">
        <v>2213500</v>
      </c>
      <c r="S27" s="16">
        <v>0</v>
      </c>
      <c r="T27" s="16">
        <v>0</v>
      </c>
      <c r="U27" s="16">
        <v>1360418.4</v>
      </c>
      <c r="V27" s="16">
        <v>0</v>
      </c>
    </row>
    <row r="28" spans="1:22" s="10" customFormat="1" ht="68.25" customHeight="1">
      <c r="A28" s="329" t="s">
        <v>398</v>
      </c>
      <c r="B28" s="330" t="s">
        <v>665</v>
      </c>
      <c r="C28" s="330">
        <v>220</v>
      </c>
      <c r="D28" s="331" t="s">
        <v>377</v>
      </c>
      <c r="E28" s="334">
        <f>F28+G28+H28+I28</f>
        <v>122450</v>
      </c>
      <c r="F28" s="335">
        <f>SUM(F29:F32)</f>
        <v>38000</v>
      </c>
      <c r="G28" s="335">
        <f>SUM(G29:G32)</f>
        <v>0</v>
      </c>
      <c r="H28" s="335">
        <f>SUM(H29:H32)</f>
        <v>0</v>
      </c>
      <c r="I28" s="335">
        <f>SUM(I29:I32)</f>
        <v>84450</v>
      </c>
      <c r="J28" s="335">
        <f>SUM(J29:J32)</f>
        <v>0</v>
      </c>
      <c r="K28" s="379">
        <f aca="true" t="shared" si="5" ref="K28:Q28">SUM(K29:K32)</f>
        <v>118250</v>
      </c>
      <c r="L28" s="379">
        <f t="shared" si="5"/>
        <v>38000</v>
      </c>
      <c r="M28" s="379">
        <f t="shared" si="5"/>
        <v>0</v>
      </c>
      <c r="N28" s="379">
        <f t="shared" si="5"/>
        <v>0</v>
      </c>
      <c r="O28" s="379">
        <f t="shared" si="5"/>
        <v>0</v>
      </c>
      <c r="P28" s="379">
        <f t="shared" si="5"/>
        <v>0</v>
      </c>
      <c r="Q28" s="379">
        <f t="shared" si="5"/>
        <v>118250</v>
      </c>
      <c r="R28" s="19">
        <v>0</v>
      </c>
      <c r="S28" s="19">
        <f>'Пр. №4 2019 год '!R13</f>
        <v>0</v>
      </c>
      <c r="T28" s="19">
        <f>'Пр. №4 2019 год '!S13</f>
        <v>0</v>
      </c>
      <c r="U28" s="19">
        <v>2250</v>
      </c>
      <c r="V28" s="19">
        <f>'Пр. №4 2019 год '!V13</f>
        <v>0</v>
      </c>
    </row>
    <row r="29" spans="1:22" s="10" customFormat="1" ht="21.75" customHeight="1">
      <c r="A29" s="11" t="s">
        <v>399</v>
      </c>
      <c r="B29" s="12" t="s">
        <v>359</v>
      </c>
      <c r="C29" s="12"/>
      <c r="D29" s="21" t="s">
        <v>877</v>
      </c>
      <c r="E29" s="323">
        <f t="shared" si="4"/>
        <v>44000</v>
      </c>
      <c r="F29" s="16">
        <f>50000-12000</f>
        <v>38000</v>
      </c>
      <c r="G29" s="16">
        <v>0</v>
      </c>
      <c r="H29" s="16">
        <v>0</v>
      </c>
      <c r="I29" s="16">
        <v>6000</v>
      </c>
      <c r="J29" s="16">
        <v>0</v>
      </c>
      <c r="K29" s="324">
        <v>56000</v>
      </c>
      <c r="L29" s="326">
        <f>F29</f>
        <v>38000</v>
      </c>
      <c r="M29" s="326">
        <v>0</v>
      </c>
      <c r="N29" s="326">
        <v>0</v>
      </c>
      <c r="O29" s="326">
        <v>0</v>
      </c>
      <c r="P29" s="326">
        <v>0</v>
      </c>
      <c r="Q29" s="324">
        <v>56000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</row>
    <row r="30" spans="1:22" s="10" customFormat="1" ht="21.75" customHeight="1">
      <c r="A30" s="11" t="s">
        <v>400</v>
      </c>
      <c r="B30" s="12" t="s">
        <v>359</v>
      </c>
      <c r="C30" s="12"/>
      <c r="D30" s="21" t="s">
        <v>879</v>
      </c>
      <c r="E30" s="323">
        <f t="shared" si="4"/>
        <v>2250</v>
      </c>
      <c r="F30" s="16">
        <v>0</v>
      </c>
      <c r="G30" s="16">
        <v>0</v>
      </c>
      <c r="H30" s="16">
        <v>0</v>
      </c>
      <c r="I30" s="16">
        <v>2250</v>
      </c>
      <c r="J30" s="16">
        <v>0</v>
      </c>
      <c r="K30" s="324">
        <v>2250</v>
      </c>
      <c r="L30" s="326">
        <f>F30</f>
        <v>0</v>
      </c>
      <c r="M30" s="326">
        <v>0</v>
      </c>
      <c r="N30" s="326">
        <v>0</v>
      </c>
      <c r="O30" s="326">
        <v>0</v>
      </c>
      <c r="P30" s="326">
        <v>0</v>
      </c>
      <c r="Q30" s="324">
        <v>2250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0" customFormat="1" ht="21.75" customHeight="1">
      <c r="A31" s="11" t="s">
        <v>1029</v>
      </c>
      <c r="B31" s="12" t="s">
        <v>359</v>
      </c>
      <c r="C31" s="12"/>
      <c r="D31" s="21" t="s">
        <v>880</v>
      </c>
      <c r="E31" s="323">
        <f t="shared" si="4"/>
        <v>21000</v>
      </c>
      <c r="F31" s="16">
        <v>0</v>
      </c>
      <c r="G31" s="16">
        <v>0</v>
      </c>
      <c r="H31" s="16">
        <v>0</v>
      </c>
      <c r="I31" s="16">
        <f>21000-4200+4200</f>
        <v>21000</v>
      </c>
      <c r="J31" s="16">
        <v>0</v>
      </c>
      <c r="K31" s="324">
        <v>21000</v>
      </c>
      <c r="L31" s="326"/>
      <c r="M31" s="326"/>
      <c r="N31" s="326"/>
      <c r="O31" s="326"/>
      <c r="P31" s="326"/>
      <c r="Q31" s="324">
        <v>21000</v>
      </c>
      <c r="R31" s="16"/>
      <c r="S31" s="16"/>
      <c r="T31" s="16"/>
      <c r="U31" s="16"/>
      <c r="V31" s="16"/>
    </row>
    <row r="32" spans="1:22" s="10" customFormat="1" ht="21.75" customHeight="1">
      <c r="A32" s="11" t="s">
        <v>1030</v>
      </c>
      <c r="B32" s="12" t="s">
        <v>359</v>
      </c>
      <c r="C32" s="12"/>
      <c r="D32" s="21" t="s">
        <v>881</v>
      </c>
      <c r="E32" s="323">
        <f>F32+G32+H32+I32</f>
        <v>55200</v>
      </c>
      <c r="F32" s="16">
        <v>0</v>
      </c>
      <c r="G32" s="16">
        <v>0</v>
      </c>
      <c r="H32" s="16">
        <v>0</v>
      </c>
      <c r="I32" s="16">
        <f>39000-5000-4000+4200+16000+5000</f>
        <v>55200</v>
      </c>
      <c r="J32" s="16">
        <v>0</v>
      </c>
      <c r="K32" s="324">
        <v>39000</v>
      </c>
      <c r="L32" s="326">
        <f>F32</f>
        <v>0</v>
      </c>
      <c r="M32" s="326">
        <v>0</v>
      </c>
      <c r="N32" s="326">
        <v>0</v>
      </c>
      <c r="O32" s="326">
        <v>0</v>
      </c>
      <c r="P32" s="326">
        <v>0</v>
      </c>
      <c r="Q32" s="324">
        <v>39000</v>
      </c>
      <c r="R32" s="16"/>
      <c r="S32" s="16"/>
      <c r="T32" s="16"/>
      <c r="U32" s="16"/>
      <c r="V32" s="16"/>
    </row>
    <row r="33" spans="1:22" s="10" customFormat="1" ht="25.5" customHeight="1">
      <c r="A33" s="329" t="s">
        <v>401</v>
      </c>
      <c r="B33" s="330" t="s">
        <v>402</v>
      </c>
      <c r="C33" s="330">
        <v>230</v>
      </c>
      <c r="D33" s="331" t="s">
        <v>377</v>
      </c>
      <c r="E33" s="334">
        <f>F33+G33+H33+I33+J33</f>
        <v>673676.46</v>
      </c>
      <c r="F33" s="335">
        <f>SUM(F34:F38)</f>
        <v>409076.45999999996</v>
      </c>
      <c r="G33" s="335">
        <v>0</v>
      </c>
      <c r="H33" s="335">
        <f>'Пр. №4 2019 год '!G18</f>
        <v>0</v>
      </c>
      <c r="I33" s="335">
        <f>SUM(I34:I38)</f>
        <v>264600</v>
      </c>
      <c r="J33" s="335">
        <f>'Пр. №4 2019 год '!J18</f>
        <v>0</v>
      </c>
      <c r="K33" s="367">
        <f aca="true" t="shared" si="6" ref="K33:Q33">SUM(K34:K38)</f>
        <v>3258900</v>
      </c>
      <c r="L33" s="367">
        <f t="shared" si="6"/>
        <v>3105695</v>
      </c>
      <c r="M33" s="367">
        <f t="shared" si="6"/>
        <v>0</v>
      </c>
      <c r="N33" s="367">
        <f t="shared" si="6"/>
        <v>0</v>
      </c>
      <c r="O33" s="367">
        <f t="shared" si="6"/>
        <v>164791</v>
      </c>
      <c r="P33" s="367">
        <f t="shared" si="6"/>
        <v>0</v>
      </c>
      <c r="Q33" s="367">
        <f t="shared" si="6"/>
        <v>3258900</v>
      </c>
      <c r="R33" s="19">
        <f>R34</f>
        <v>3105695</v>
      </c>
      <c r="S33" s="19">
        <f>S34</f>
        <v>0</v>
      </c>
      <c r="T33" s="19">
        <f>T34</f>
        <v>0</v>
      </c>
      <c r="U33" s="19">
        <f>U34</f>
        <v>312256</v>
      </c>
      <c r="V33" s="19">
        <f>V34</f>
        <v>0</v>
      </c>
    </row>
    <row r="34" spans="1:22" s="10" customFormat="1" ht="15" customHeight="1">
      <c r="A34" s="11" t="s">
        <v>403</v>
      </c>
      <c r="B34" s="12" t="s">
        <v>359</v>
      </c>
      <c r="C34" s="12"/>
      <c r="D34" s="21" t="s">
        <v>882</v>
      </c>
      <c r="E34" s="323">
        <f>F34+G34+H34+I34+J34</f>
        <v>469676.45999999996</v>
      </c>
      <c r="F34" s="16">
        <f>3223311.46-200300-2247865-366070</f>
        <v>409076.45999999996</v>
      </c>
      <c r="G34" s="16">
        <v>0</v>
      </c>
      <c r="H34" s="16">
        <v>0</v>
      </c>
      <c r="I34" s="16">
        <f>141200-10000-16000-54600</f>
        <v>60600</v>
      </c>
      <c r="J34" s="16">
        <v>0</v>
      </c>
      <c r="K34" s="367">
        <v>3246900</v>
      </c>
      <c r="L34" s="366">
        <v>3105695</v>
      </c>
      <c r="M34" s="366">
        <v>0</v>
      </c>
      <c r="N34" s="366">
        <v>0</v>
      </c>
      <c r="O34" s="366">
        <v>164791</v>
      </c>
      <c r="P34" s="366">
        <v>0</v>
      </c>
      <c r="Q34" s="367">
        <v>3246900</v>
      </c>
      <c r="R34" s="16">
        <v>3105695</v>
      </c>
      <c r="S34" s="16">
        <v>0</v>
      </c>
      <c r="T34" s="16">
        <v>0</v>
      </c>
      <c r="U34" s="16">
        <v>312256</v>
      </c>
      <c r="V34" s="16">
        <v>0</v>
      </c>
    </row>
    <row r="35" spans="1:22" s="10" customFormat="1" ht="15" customHeight="1">
      <c r="A35" s="11" t="s">
        <v>404</v>
      </c>
      <c r="B35" s="12"/>
      <c r="C35" s="12"/>
      <c r="D35" s="21" t="s">
        <v>883</v>
      </c>
      <c r="E35" s="323">
        <f>F35+G35+H35+I35</f>
        <v>10500</v>
      </c>
      <c r="F35" s="16">
        <v>0</v>
      </c>
      <c r="G35" s="16">
        <v>0</v>
      </c>
      <c r="H35" s="16">
        <v>0</v>
      </c>
      <c r="I35" s="16">
        <f>12000-1500</f>
        <v>10500</v>
      </c>
      <c r="J35" s="16">
        <v>0</v>
      </c>
      <c r="K35" s="367">
        <v>12000</v>
      </c>
      <c r="L35" s="366">
        <v>0</v>
      </c>
      <c r="M35" s="366">
        <v>0</v>
      </c>
      <c r="N35" s="366">
        <v>0</v>
      </c>
      <c r="O35" s="366">
        <v>0</v>
      </c>
      <c r="P35" s="366">
        <v>0</v>
      </c>
      <c r="Q35" s="367">
        <v>12000</v>
      </c>
      <c r="R35" s="16">
        <v>0</v>
      </c>
      <c r="S35" s="16">
        <v>0</v>
      </c>
      <c r="T35" s="16">
        <v>0</v>
      </c>
      <c r="U35" s="16">
        <v>3</v>
      </c>
      <c r="V35" s="16">
        <v>0</v>
      </c>
    </row>
    <row r="36" spans="1:22" s="10" customFormat="1" ht="15" customHeight="1">
      <c r="A36" s="11" t="s">
        <v>405</v>
      </c>
      <c r="B36" s="12"/>
      <c r="C36" s="12"/>
      <c r="D36" s="21" t="s">
        <v>1008</v>
      </c>
      <c r="E36" s="323">
        <f>F36+G36+H36+I36</f>
        <v>182000</v>
      </c>
      <c r="F36" s="16">
        <v>0</v>
      </c>
      <c r="G36" s="16">
        <v>0</v>
      </c>
      <c r="H36" s="16">
        <v>0</v>
      </c>
      <c r="I36" s="16">
        <v>182000</v>
      </c>
      <c r="J36" s="16">
        <v>0</v>
      </c>
      <c r="K36" s="367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7">
        <v>0</v>
      </c>
      <c r="R36" s="16">
        <v>0</v>
      </c>
      <c r="S36" s="16">
        <v>0</v>
      </c>
      <c r="T36" s="16">
        <v>0</v>
      </c>
      <c r="U36" s="16">
        <v>3</v>
      </c>
      <c r="V36" s="16">
        <v>0</v>
      </c>
    </row>
    <row r="37" spans="1:22" s="10" customFormat="1" ht="15" customHeight="1">
      <c r="A37" s="11" t="s">
        <v>1006</v>
      </c>
      <c r="B37" s="12"/>
      <c r="C37" s="12"/>
      <c r="D37" s="21" t="s">
        <v>1013</v>
      </c>
      <c r="E37" s="323">
        <f>F37+G37+H37+I37</f>
        <v>10000</v>
      </c>
      <c r="F37" s="16">
        <v>0</v>
      </c>
      <c r="G37" s="16">
        <v>0</v>
      </c>
      <c r="H37" s="16">
        <v>0</v>
      </c>
      <c r="I37" s="16">
        <v>10000</v>
      </c>
      <c r="J37" s="16">
        <v>0</v>
      </c>
      <c r="K37" s="367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7">
        <v>0</v>
      </c>
      <c r="R37" s="16">
        <v>0</v>
      </c>
      <c r="S37" s="16">
        <v>0</v>
      </c>
      <c r="T37" s="16">
        <v>0</v>
      </c>
      <c r="U37" s="16">
        <v>3</v>
      </c>
      <c r="V37" s="16">
        <v>0</v>
      </c>
    </row>
    <row r="38" spans="1:22" s="10" customFormat="1" ht="15" customHeight="1">
      <c r="A38" s="11" t="s">
        <v>1006</v>
      </c>
      <c r="B38" s="12"/>
      <c r="C38" s="12"/>
      <c r="D38" s="21" t="s">
        <v>1111</v>
      </c>
      <c r="E38" s="323">
        <f>F38+G38+H38+I38</f>
        <v>1500</v>
      </c>
      <c r="F38" s="16">
        <v>0</v>
      </c>
      <c r="G38" s="16">
        <v>0</v>
      </c>
      <c r="H38" s="16">
        <v>0</v>
      </c>
      <c r="I38" s="16">
        <v>1500</v>
      </c>
      <c r="J38" s="16">
        <v>0</v>
      </c>
      <c r="K38" s="367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7">
        <v>0</v>
      </c>
      <c r="R38" s="16">
        <v>0</v>
      </c>
      <c r="S38" s="16">
        <v>0</v>
      </c>
      <c r="T38" s="16">
        <v>0</v>
      </c>
      <c r="U38" s="16">
        <v>3</v>
      </c>
      <c r="V38" s="16">
        <v>0</v>
      </c>
    </row>
    <row r="39" spans="1:22" s="10" customFormat="1" ht="40.5" customHeight="1">
      <c r="A39" s="329" t="s">
        <v>406</v>
      </c>
      <c r="B39" s="330" t="s">
        <v>407</v>
      </c>
      <c r="C39" s="330">
        <v>240</v>
      </c>
      <c r="D39" s="331" t="s">
        <v>377</v>
      </c>
      <c r="E39" s="334">
        <f>F39+G39+H39+I39+E39</f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24">
        <f aca="true" t="shared" si="7" ref="K39:Q39">L39+M39+N39+O39</f>
        <v>0</v>
      </c>
      <c r="L39" s="324">
        <f t="shared" si="7"/>
        <v>0</v>
      </c>
      <c r="M39" s="324">
        <f t="shared" si="7"/>
        <v>0</v>
      </c>
      <c r="N39" s="324">
        <f t="shared" si="7"/>
        <v>0</v>
      </c>
      <c r="O39" s="324">
        <f t="shared" si="7"/>
        <v>0</v>
      </c>
      <c r="P39" s="324">
        <f t="shared" si="7"/>
        <v>0</v>
      </c>
      <c r="Q39" s="324">
        <f t="shared" si="7"/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</row>
    <row r="40" spans="1:22" s="10" customFormat="1" ht="63" customHeight="1">
      <c r="A40" s="329" t="s">
        <v>408</v>
      </c>
      <c r="B40" s="330" t="s">
        <v>409</v>
      </c>
      <c r="C40" s="330">
        <v>250</v>
      </c>
      <c r="D40" s="331" t="s">
        <v>377</v>
      </c>
      <c r="E40" s="334">
        <f>F40+G40+H40+I40+J40</f>
        <v>47200</v>
      </c>
      <c r="F40" s="335">
        <f>'Пр. №4 2019 год '!E26</f>
        <v>0</v>
      </c>
      <c r="G40" s="335">
        <v>0</v>
      </c>
      <c r="H40" s="335">
        <f>'Пр. №4 2019 год '!G26</f>
        <v>0</v>
      </c>
      <c r="I40" s="335">
        <f>SUM(I41)</f>
        <v>47200</v>
      </c>
      <c r="J40" s="335">
        <f>'Пр. №4 2019 год '!J26</f>
        <v>0</v>
      </c>
      <c r="K40" s="324">
        <v>31600</v>
      </c>
      <c r="L40" s="324">
        <f>L41</f>
        <v>0</v>
      </c>
      <c r="M40" s="324">
        <f>M41</f>
        <v>0</v>
      </c>
      <c r="N40" s="324">
        <f>N41</f>
        <v>0</v>
      </c>
      <c r="O40" s="324">
        <f>O41</f>
        <v>31681.28</v>
      </c>
      <c r="P40" s="324">
        <f>P41</f>
        <v>0</v>
      </c>
      <c r="Q40" s="324">
        <v>31600</v>
      </c>
      <c r="R40" s="19">
        <v>0</v>
      </c>
      <c r="S40" s="19">
        <f>'Пр. №4 2019 год '!R26</f>
        <v>0</v>
      </c>
      <c r="T40" s="19">
        <f>'Пр. №4 2019 год '!S26</f>
        <v>0</v>
      </c>
      <c r="U40" s="19">
        <f>O40</f>
        <v>31681.28</v>
      </c>
      <c r="V40" s="19">
        <f>'Пр. №4 2019 год '!V26</f>
        <v>0</v>
      </c>
    </row>
    <row r="41" spans="1:22" s="10" customFormat="1" ht="15" customHeight="1">
      <c r="A41" s="22" t="s">
        <v>410</v>
      </c>
      <c r="B41" s="12" t="s">
        <v>359</v>
      </c>
      <c r="C41" s="12"/>
      <c r="D41" s="21" t="s">
        <v>884</v>
      </c>
      <c r="E41" s="323">
        <f>F41+G41+H41+I41+J41</f>
        <v>47200</v>
      </c>
      <c r="F41" s="16">
        <v>0</v>
      </c>
      <c r="G41" s="16">
        <v>0</v>
      </c>
      <c r="H41" s="16">
        <v>0</v>
      </c>
      <c r="I41" s="16">
        <f>31600+4800+10800</f>
        <v>47200</v>
      </c>
      <c r="J41" s="16">
        <v>0</v>
      </c>
      <c r="K41" s="308">
        <v>31600</v>
      </c>
      <c r="L41" s="503">
        <v>0</v>
      </c>
      <c r="M41" s="503">
        <v>0</v>
      </c>
      <c r="N41" s="503">
        <v>0</v>
      </c>
      <c r="O41" s="503">
        <v>31681.28</v>
      </c>
      <c r="P41" s="503">
        <v>0</v>
      </c>
      <c r="Q41" s="308">
        <v>31600</v>
      </c>
      <c r="R41" s="16">
        <v>0</v>
      </c>
      <c r="S41" s="16">
        <v>0</v>
      </c>
      <c r="T41" s="16">
        <v>0</v>
      </c>
      <c r="U41" s="16">
        <f>O41</f>
        <v>31681.28</v>
      </c>
      <c r="V41" s="16">
        <v>0</v>
      </c>
    </row>
    <row r="42" spans="1:22" s="10" customFormat="1" ht="40.5" customHeight="1">
      <c r="A42" s="342" t="s">
        <v>411</v>
      </c>
      <c r="B42" s="330" t="s">
        <v>412</v>
      </c>
      <c r="C42" s="330">
        <v>260</v>
      </c>
      <c r="D42" s="343" t="s">
        <v>377</v>
      </c>
      <c r="E42" s="334">
        <f>F42+G42+H42+I42</f>
        <v>9841154.65</v>
      </c>
      <c r="F42" s="335">
        <f>F43+F49+F54+F67+F72+F74+F79+F45+F51</f>
        <v>2161500</v>
      </c>
      <c r="G42" s="335">
        <f>G43+G49+G54+G67+G72+G74+G79+G45+G51</f>
        <v>1177934.65</v>
      </c>
      <c r="H42" s="335">
        <f>H43+H49+H54+H67+H72+H74+H79+H45+H51</f>
        <v>0</v>
      </c>
      <c r="I42" s="335">
        <f>I43+I49+I54+I67+I72+I74+I79+I45+I51</f>
        <v>6501720</v>
      </c>
      <c r="J42" s="335">
        <f>J43+J49+J54+J67+J72+J74+J79+J45+J51</f>
        <v>0</v>
      </c>
      <c r="K42" s="324">
        <f aca="true" t="shared" si="8" ref="K42:Q42">K43+K45+K49+K51+K54+K67+K74+K79+K72</f>
        <v>7218140.95</v>
      </c>
      <c r="L42" s="324">
        <f t="shared" si="8"/>
        <v>2002365</v>
      </c>
      <c r="M42" s="324">
        <f t="shared" si="8"/>
        <v>415390.95</v>
      </c>
      <c r="N42" s="324">
        <f t="shared" si="8"/>
        <v>0</v>
      </c>
      <c r="O42" s="324">
        <f t="shared" si="8"/>
        <v>5005501.01</v>
      </c>
      <c r="P42" s="324">
        <f t="shared" si="8"/>
        <v>0</v>
      </c>
      <c r="Q42" s="324">
        <f t="shared" si="8"/>
        <v>7258840.95</v>
      </c>
      <c r="R42" s="19" t="e">
        <f>R43+R45+R49+R51+R54+R67+#REF!</f>
        <v>#REF!</v>
      </c>
      <c r="S42" s="19">
        <v>416960.95</v>
      </c>
      <c r="T42" s="19" t="e">
        <f>T43+T45+T49+T51+T54+T67+#REF!</f>
        <v>#REF!</v>
      </c>
      <c r="U42" s="19" t="e">
        <f>U43+U45+U49+U51+U54+U67+#REF!</f>
        <v>#REF!</v>
      </c>
      <c r="V42" s="19" t="e">
        <f>V43+V45+V49+V51+V54+V67+#REF!</f>
        <v>#REF!</v>
      </c>
    </row>
    <row r="43" spans="1:22" s="10" customFormat="1" ht="15" customHeight="1">
      <c r="A43" s="344" t="s">
        <v>413</v>
      </c>
      <c r="B43" s="345" t="s">
        <v>414</v>
      </c>
      <c r="C43" s="345"/>
      <c r="D43" s="346" t="s">
        <v>415</v>
      </c>
      <c r="E43" s="334">
        <f>'Пр. №4 2019 год '!D32</f>
        <v>150600</v>
      </c>
      <c r="F43" s="347">
        <f>F44</f>
        <v>55200</v>
      </c>
      <c r="G43" s="347">
        <f>G44</f>
        <v>0</v>
      </c>
      <c r="H43" s="347">
        <f>H44</f>
        <v>0</v>
      </c>
      <c r="I43" s="347">
        <f>I44</f>
        <v>95400</v>
      </c>
      <c r="J43" s="347">
        <f>J44</f>
        <v>0</v>
      </c>
      <c r="K43" s="324">
        <f aca="true" t="shared" si="9" ref="K43:Q43">SUM(K44:K44)</f>
        <v>135600</v>
      </c>
      <c r="L43" s="324">
        <f t="shared" si="9"/>
        <v>55200</v>
      </c>
      <c r="M43" s="324">
        <f t="shared" si="9"/>
        <v>0</v>
      </c>
      <c r="N43" s="324">
        <f t="shared" si="9"/>
        <v>0</v>
      </c>
      <c r="O43" s="324">
        <f t="shared" si="9"/>
        <v>76987.12</v>
      </c>
      <c r="P43" s="324">
        <f t="shared" si="9"/>
        <v>0</v>
      </c>
      <c r="Q43" s="324">
        <f t="shared" si="9"/>
        <v>135600</v>
      </c>
      <c r="R43" s="23">
        <f>R44</f>
        <v>55200</v>
      </c>
      <c r="S43" s="23">
        <f>S44</f>
        <v>0</v>
      </c>
      <c r="T43" s="23">
        <f>T44</f>
        <v>0</v>
      </c>
      <c r="U43" s="23">
        <f>U44</f>
        <v>76587.12</v>
      </c>
      <c r="V43" s="23">
        <f>V44</f>
        <v>0</v>
      </c>
    </row>
    <row r="44" spans="1:22" s="10" customFormat="1" ht="17.25" customHeight="1">
      <c r="A44" s="11" t="s">
        <v>416</v>
      </c>
      <c r="B44" s="362" t="s">
        <v>359</v>
      </c>
      <c r="C44" s="12"/>
      <c r="D44" s="21" t="s">
        <v>894</v>
      </c>
      <c r="E44" s="323">
        <f>F44+G44+H44+I44</f>
        <v>150600</v>
      </c>
      <c r="F44" s="16">
        <v>55200</v>
      </c>
      <c r="G44" s="16">
        <v>0</v>
      </c>
      <c r="H44" s="16">
        <v>0</v>
      </c>
      <c r="I44" s="16">
        <f>80400+15000</f>
        <v>95400</v>
      </c>
      <c r="J44" s="16">
        <v>0</v>
      </c>
      <c r="K44" s="324">
        <v>135600</v>
      </c>
      <c r="L44" s="326">
        <v>55200</v>
      </c>
      <c r="M44" s="326">
        <v>0</v>
      </c>
      <c r="N44" s="326">
        <v>0</v>
      </c>
      <c r="O44" s="326">
        <v>76987.12</v>
      </c>
      <c r="P44" s="326">
        <v>0</v>
      </c>
      <c r="Q44" s="324">
        <v>135600</v>
      </c>
      <c r="R44" s="16">
        <v>55200</v>
      </c>
      <c r="S44" s="16">
        <v>0</v>
      </c>
      <c r="T44" s="16">
        <v>0</v>
      </c>
      <c r="U44" s="16">
        <v>76587.12</v>
      </c>
      <c r="V44" s="16">
        <v>0</v>
      </c>
    </row>
    <row r="45" spans="1:22" s="10" customFormat="1" ht="16.5" customHeight="1">
      <c r="A45" s="344" t="s">
        <v>417</v>
      </c>
      <c r="B45" s="345" t="s">
        <v>418</v>
      </c>
      <c r="C45" s="345"/>
      <c r="D45" s="346" t="s">
        <v>419</v>
      </c>
      <c r="E45" s="334">
        <f>'Пр. №4 2019 год '!D35</f>
        <v>110100</v>
      </c>
      <c r="F45" s="347">
        <f>'Пр. №4 2019 год '!E35</f>
        <v>0</v>
      </c>
      <c r="G45" s="347">
        <f>SUM(G46:G48)</f>
        <v>104800</v>
      </c>
      <c r="H45" s="347">
        <f>'Пр. №4 2019 год '!G35</f>
        <v>0</v>
      </c>
      <c r="I45" s="347">
        <f>'Пр. №4 2019 год '!H35+'Пр. №4 2019 год '!I35+'Пр. №4 2019 год '!J35+'Пр. №4 2019 год '!K35</f>
        <v>5300</v>
      </c>
      <c r="J45" s="347">
        <v>0</v>
      </c>
      <c r="K45" s="324">
        <f aca="true" t="shared" si="10" ref="K45:Q45">SUM(K46:K48)</f>
        <v>22260</v>
      </c>
      <c r="L45" s="324">
        <f t="shared" si="10"/>
        <v>0</v>
      </c>
      <c r="M45" s="324">
        <f t="shared" si="10"/>
        <v>16960</v>
      </c>
      <c r="N45" s="324">
        <f t="shared" si="10"/>
        <v>0</v>
      </c>
      <c r="O45" s="324">
        <f t="shared" si="10"/>
        <v>5268.25</v>
      </c>
      <c r="P45" s="324">
        <f t="shared" si="10"/>
        <v>0</v>
      </c>
      <c r="Q45" s="324">
        <f t="shared" si="10"/>
        <v>22260</v>
      </c>
      <c r="R45" s="23">
        <f>R46</f>
        <v>0</v>
      </c>
      <c r="S45" s="23">
        <f>'Пр. №4 2019 год '!R35</f>
        <v>0</v>
      </c>
      <c r="T45" s="23">
        <f>'Пр. №4 2019 год '!S35</f>
        <v>0</v>
      </c>
      <c r="U45" s="23">
        <f>U46</f>
        <v>5268.25</v>
      </c>
      <c r="V45" s="23">
        <v>0</v>
      </c>
    </row>
    <row r="46" spans="1:22" s="10" customFormat="1" ht="18" customHeight="1">
      <c r="A46" s="11" t="s">
        <v>420</v>
      </c>
      <c r="B46" s="795" t="s">
        <v>359</v>
      </c>
      <c r="C46" s="12"/>
      <c r="D46" s="21" t="s">
        <v>893</v>
      </c>
      <c r="E46" s="323">
        <f>F46+G46+H46+I46</f>
        <v>5300</v>
      </c>
      <c r="F46" s="16">
        <v>0</v>
      </c>
      <c r="G46" s="16">
        <v>0</v>
      </c>
      <c r="H46" s="16">
        <v>0</v>
      </c>
      <c r="I46" s="16">
        <v>5300</v>
      </c>
      <c r="J46" s="16">
        <v>0</v>
      </c>
      <c r="K46" s="324">
        <v>5300</v>
      </c>
      <c r="L46" s="326">
        <v>0</v>
      </c>
      <c r="M46" s="326">
        <v>0</v>
      </c>
      <c r="N46" s="326">
        <v>0</v>
      </c>
      <c r="O46" s="326">
        <v>5268.25</v>
      </c>
      <c r="P46" s="326">
        <v>0</v>
      </c>
      <c r="Q46" s="324">
        <v>5300</v>
      </c>
      <c r="R46" s="16">
        <v>0</v>
      </c>
      <c r="S46" s="16">
        <v>0</v>
      </c>
      <c r="T46" s="16">
        <v>0</v>
      </c>
      <c r="U46" s="16">
        <v>5268.25</v>
      </c>
      <c r="V46" s="16">
        <v>0</v>
      </c>
    </row>
    <row r="47" spans="1:22" s="10" customFormat="1" ht="18" customHeight="1">
      <c r="A47" s="11" t="s">
        <v>421</v>
      </c>
      <c r="B47" s="795"/>
      <c r="C47" s="12"/>
      <c r="D47" s="21" t="s">
        <v>613</v>
      </c>
      <c r="E47" s="323">
        <f>F47+G47+H47+I47</f>
        <v>9800</v>
      </c>
      <c r="F47" s="16">
        <v>0</v>
      </c>
      <c r="G47" s="16">
        <f>8480+270+1050</f>
        <v>9800</v>
      </c>
      <c r="H47" s="16">
        <v>0</v>
      </c>
      <c r="I47" s="16">
        <v>0</v>
      </c>
      <c r="J47" s="16">
        <v>0</v>
      </c>
      <c r="K47" s="324">
        <v>8480</v>
      </c>
      <c r="L47" s="326">
        <v>0</v>
      </c>
      <c r="M47" s="326">
        <v>8480</v>
      </c>
      <c r="N47" s="326">
        <v>0</v>
      </c>
      <c r="O47" s="326">
        <v>0</v>
      </c>
      <c r="P47" s="326">
        <v>0</v>
      </c>
      <c r="Q47" s="324">
        <v>8480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</row>
    <row r="48" spans="1:22" s="10" customFormat="1" ht="18" customHeight="1">
      <c r="A48" s="11" t="s">
        <v>1027</v>
      </c>
      <c r="B48" s="795"/>
      <c r="C48" s="12"/>
      <c r="D48" s="21" t="s">
        <v>1028</v>
      </c>
      <c r="E48" s="323">
        <f>F48+G48+H48+I48</f>
        <v>95000</v>
      </c>
      <c r="F48" s="16">
        <v>0</v>
      </c>
      <c r="G48" s="16">
        <v>95000</v>
      </c>
      <c r="H48" s="16">
        <v>0</v>
      </c>
      <c r="I48" s="16">
        <v>0</v>
      </c>
      <c r="J48" s="16">
        <v>0</v>
      </c>
      <c r="K48" s="324">
        <v>8480</v>
      </c>
      <c r="L48" s="326">
        <v>0</v>
      </c>
      <c r="M48" s="326">
        <v>8480</v>
      </c>
      <c r="N48" s="326">
        <v>0</v>
      </c>
      <c r="O48" s="326">
        <v>0</v>
      </c>
      <c r="P48" s="326">
        <v>0</v>
      </c>
      <c r="Q48" s="324">
        <v>8480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1:22" s="10" customFormat="1" ht="15.75" customHeight="1">
      <c r="A49" s="344" t="s">
        <v>422</v>
      </c>
      <c r="B49" s="345" t="s">
        <v>423</v>
      </c>
      <c r="C49" s="345"/>
      <c r="D49" s="346" t="s">
        <v>424</v>
      </c>
      <c r="E49" s="334">
        <f>'Пр. №4 2019 год '!D37</f>
        <v>2346350</v>
      </c>
      <c r="F49" s="347">
        <f>F50</f>
        <v>1100450</v>
      </c>
      <c r="G49" s="347">
        <f>G50</f>
        <v>0</v>
      </c>
      <c r="H49" s="347">
        <f>H50</f>
        <v>0</v>
      </c>
      <c r="I49" s="347">
        <f>I50</f>
        <v>1245900</v>
      </c>
      <c r="J49" s="347">
        <f>J50</f>
        <v>0</v>
      </c>
      <c r="K49" s="324">
        <f aca="true" t="shared" si="11" ref="K49:Q49">SUM(K50:K50)</f>
        <v>2116200</v>
      </c>
      <c r="L49" s="324">
        <f t="shared" si="11"/>
        <v>996365</v>
      </c>
      <c r="M49" s="324">
        <f t="shared" si="11"/>
        <v>0</v>
      </c>
      <c r="N49" s="324">
        <f t="shared" si="11"/>
        <v>0</v>
      </c>
      <c r="O49" s="324">
        <f t="shared" si="11"/>
        <v>1413894.49</v>
      </c>
      <c r="P49" s="324">
        <f t="shared" si="11"/>
        <v>0</v>
      </c>
      <c r="Q49" s="324">
        <f t="shared" si="11"/>
        <v>2156900</v>
      </c>
      <c r="R49" s="23">
        <f>R50</f>
        <v>659300</v>
      </c>
      <c r="S49" s="23">
        <f>S50</f>
        <v>0</v>
      </c>
      <c r="T49" s="23">
        <f>T50</f>
        <v>0</v>
      </c>
      <c r="U49" s="23">
        <f>U50</f>
        <v>1101185.88</v>
      </c>
      <c r="V49" s="23">
        <f>V50</f>
        <v>0</v>
      </c>
    </row>
    <row r="50" spans="1:22" s="10" customFormat="1" ht="15.75" customHeight="1">
      <c r="A50" s="11" t="s">
        <v>425</v>
      </c>
      <c r="B50" s="362" t="s">
        <v>359</v>
      </c>
      <c r="C50" s="12"/>
      <c r="D50" s="21" t="s">
        <v>892</v>
      </c>
      <c r="E50" s="323">
        <f>F50+G50+H50+I50</f>
        <v>2346350</v>
      </c>
      <c r="F50" s="16">
        <f>955200+148100-2850</f>
        <v>1100450</v>
      </c>
      <c r="G50" s="16">
        <v>0</v>
      </c>
      <c r="H50" s="16">
        <v>0</v>
      </c>
      <c r="I50" s="16">
        <f>1122900+163000-40000</f>
        <v>1245900</v>
      </c>
      <c r="J50" s="16">
        <v>0</v>
      </c>
      <c r="K50" s="324">
        <v>2116200</v>
      </c>
      <c r="L50" s="326">
        <v>996365</v>
      </c>
      <c r="M50" s="326">
        <v>0</v>
      </c>
      <c r="N50" s="326">
        <v>0</v>
      </c>
      <c r="O50" s="16">
        <v>1413894.49</v>
      </c>
      <c r="P50" s="326">
        <v>0</v>
      </c>
      <c r="Q50" s="324">
        <v>2156900</v>
      </c>
      <c r="R50" s="16">
        <v>659300</v>
      </c>
      <c r="S50" s="16">
        <v>0</v>
      </c>
      <c r="T50" s="16">
        <v>0</v>
      </c>
      <c r="U50" s="16">
        <f>1101185.88</f>
        <v>1101185.88</v>
      </c>
      <c r="V50" s="16">
        <v>0</v>
      </c>
    </row>
    <row r="51" spans="1:22" s="10" customFormat="1" ht="25.5" customHeight="1">
      <c r="A51" s="344" t="s">
        <v>426</v>
      </c>
      <c r="B51" s="348" t="s">
        <v>427</v>
      </c>
      <c r="C51" s="345"/>
      <c r="D51" s="346" t="s">
        <v>428</v>
      </c>
      <c r="E51" s="334">
        <f>'Пр. №4 2019 год '!D42</f>
        <v>4000</v>
      </c>
      <c r="F51" s="347">
        <f>'Пр. №4 2019 год '!E42</f>
        <v>0</v>
      </c>
      <c r="G51" s="347">
        <v>0</v>
      </c>
      <c r="H51" s="347">
        <f>'Пр. №4 2019 год '!G42</f>
        <v>0</v>
      </c>
      <c r="I51" s="347">
        <f>I53</f>
        <v>4000</v>
      </c>
      <c r="J51" s="347">
        <f>'Пр. №4 2019 год '!J42</f>
        <v>0</v>
      </c>
      <c r="K51" s="324">
        <v>235000</v>
      </c>
      <c r="L51" s="324">
        <f>SUM(L53:L53)</f>
        <v>0</v>
      </c>
      <c r="M51" s="324">
        <f>SUM(M53:M53)</f>
        <v>0</v>
      </c>
      <c r="N51" s="324">
        <f>SUM(N53:N53)</f>
        <v>0</v>
      </c>
      <c r="O51" s="324">
        <f>SUM(O53:O53)</f>
        <v>314200</v>
      </c>
      <c r="P51" s="324">
        <f>SUM(P53:P53)</f>
        <v>0</v>
      </c>
      <c r="Q51" s="324">
        <v>235000</v>
      </c>
      <c r="R51" s="23">
        <f>R52</f>
        <v>0</v>
      </c>
      <c r="S51" s="23">
        <f>S52</f>
        <v>0</v>
      </c>
      <c r="T51" s="23">
        <f>T52</f>
        <v>0</v>
      </c>
      <c r="U51" s="23">
        <f>U52</f>
        <v>1200</v>
      </c>
      <c r="V51" s="23">
        <f>V52</f>
        <v>0</v>
      </c>
    </row>
    <row r="52" spans="1:22" s="10" customFormat="1" ht="15.75" customHeight="1" hidden="1">
      <c r="A52" s="11" t="s">
        <v>429</v>
      </c>
      <c r="B52" s="795" t="s">
        <v>359</v>
      </c>
      <c r="C52" s="12"/>
      <c r="D52" s="21"/>
      <c r="E52" s="323"/>
      <c r="F52" s="16"/>
      <c r="G52" s="16"/>
      <c r="H52" s="16"/>
      <c r="I52" s="16"/>
      <c r="J52" s="16"/>
      <c r="K52" s="324"/>
      <c r="L52" s="326"/>
      <c r="M52" s="326"/>
      <c r="N52" s="326"/>
      <c r="O52" s="326"/>
      <c r="P52" s="326"/>
      <c r="Q52" s="324"/>
      <c r="R52" s="16">
        <v>0</v>
      </c>
      <c r="S52" s="16">
        <v>0</v>
      </c>
      <c r="T52" s="16">
        <v>0</v>
      </c>
      <c r="U52" s="16">
        <v>1200</v>
      </c>
      <c r="V52" s="16">
        <v>0</v>
      </c>
    </row>
    <row r="53" spans="1:22" s="10" customFormat="1" ht="15.75" customHeight="1">
      <c r="A53" s="11" t="s">
        <v>429</v>
      </c>
      <c r="B53" s="795"/>
      <c r="C53" s="12"/>
      <c r="D53" s="21" t="s">
        <v>891</v>
      </c>
      <c r="E53" s="323">
        <f>F53+G53+H53+I53</f>
        <v>4000</v>
      </c>
      <c r="F53" s="16">
        <v>0</v>
      </c>
      <c r="G53" s="16">
        <v>0</v>
      </c>
      <c r="H53" s="16">
        <v>0</v>
      </c>
      <c r="I53" s="16">
        <f>235000-231000</f>
        <v>4000</v>
      </c>
      <c r="J53" s="16">
        <v>0</v>
      </c>
      <c r="K53" s="324">
        <v>314200</v>
      </c>
      <c r="L53" s="326">
        <v>0</v>
      </c>
      <c r="M53" s="326">
        <v>0</v>
      </c>
      <c r="N53" s="326">
        <v>0</v>
      </c>
      <c r="O53" s="326">
        <v>314200</v>
      </c>
      <c r="P53" s="326">
        <v>0</v>
      </c>
      <c r="Q53" s="324">
        <v>314200</v>
      </c>
      <c r="R53" s="16"/>
      <c r="S53" s="16">
        <v>0</v>
      </c>
      <c r="T53" s="16">
        <v>0</v>
      </c>
      <c r="U53" s="16">
        <v>0</v>
      </c>
      <c r="V53" s="16">
        <v>0</v>
      </c>
    </row>
    <row r="54" spans="1:22" s="10" customFormat="1" ht="31.5" customHeight="1">
      <c r="A54" s="344" t="s">
        <v>430</v>
      </c>
      <c r="B54" s="345" t="s">
        <v>431</v>
      </c>
      <c r="C54" s="345"/>
      <c r="D54" s="346" t="s">
        <v>432</v>
      </c>
      <c r="E54" s="334">
        <f>'Пр. №4 2019 год '!D44</f>
        <v>1491450</v>
      </c>
      <c r="F54" s="347">
        <f>F55</f>
        <v>502950</v>
      </c>
      <c r="G54" s="347">
        <f>G55</f>
        <v>0</v>
      </c>
      <c r="H54" s="347">
        <f>H55</f>
        <v>0</v>
      </c>
      <c r="I54" s="347">
        <f>I55</f>
        <v>988500</v>
      </c>
      <c r="J54" s="347">
        <f>J55</f>
        <v>0</v>
      </c>
      <c r="K54" s="324">
        <f aca="true" t="shared" si="12" ref="K54:Q54">SUM(K55:K55)</f>
        <v>1826000</v>
      </c>
      <c r="L54" s="324">
        <f t="shared" si="12"/>
        <v>641300</v>
      </c>
      <c r="M54" s="324">
        <f t="shared" si="12"/>
        <v>0</v>
      </c>
      <c r="N54" s="324">
        <f t="shared" si="12"/>
        <v>0</v>
      </c>
      <c r="O54" s="324">
        <f t="shared" si="12"/>
        <v>1473659.08</v>
      </c>
      <c r="P54" s="324">
        <f t="shared" si="12"/>
        <v>0</v>
      </c>
      <c r="Q54" s="324">
        <f t="shared" si="12"/>
        <v>1826000</v>
      </c>
      <c r="R54" s="23">
        <v>641300</v>
      </c>
      <c r="S54" s="23">
        <f>'Пр. №4 2019 год '!R44</f>
        <v>0</v>
      </c>
      <c r="T54" s="23">
        <f>'Пр. №4 2019 год '!S44</f>
        <v>0</v>
      </c>
      <c r="U54" s="23">
        <f>U55+U56</f>
        <v>1793442.69</v>
      </c>
      <c r="V54" s="23">
        <f>V55+V56</f>
        <v>0</v>
      </c>
    </row>
    <row r="55" spans="1:22" s="10" customFormat="1" ht="15.75" customHeight="1">
      <c r="A55" s="11" t="s">
        <v>1031</v>
      </c>
      <c r="B55" s="795" t="s">
        <v>359</v>
      </c>
      <c r="C55" s="12"/>
      <c r="D55" s="21" t="s">
        <v>890</v>
      </c>
      <c r="E55" s="323">
        <f>F55+G55+H55+I55</f>
        <v>1491450</v>
      </c>
      <c r="F55" s="16">
        <f>641300-148100+2850+6900</f>
        <v>502950</v>
      </c>
      <c r="G55" s="16">
        <v>0</v>
      </c>
      <c r="H55" s="16">
        <v>0</v>
      </c>
      <c r="I55" s="16">
        <f>1184700-49600-15000-163000+22800+23100-54500+40000</f>
        <v>988500</v>
      </c>
      <c r="J55" s="16">
        <v>0</v>
      </c>
      <c r="K55" s="324">
        <v>1826000</v>
      </c>
      <c r="L55" s="326">
        <v>641300</v>
      </c>
      <c r="M55" s="326">
        <v>0</v>
      </c>
      <c r="N55" s="326">
        <v>0</v>
      </c>
      <c r="O55" s="326">
        <v>1473659.08</v>
      </c>
      <c r="P55" s="326">
        <v>0</v>
      </c>
      <c r="Q55" s="324">
        <v>1826000</v>
      </c>
      <c r="R55" s="16">
        <f>R54</f>
        <v>641300</v>
      </c>
      <c r="S55" s="16">
        <v>0</v>
      </c>
      <c r="T55" s="16">
        <v>0</v>
      </c>
      <c r="U55" s="16">
        <f>1721264.57+72178.12</f>
        <v>1793442.69</v>
      </c>
      <c r="V55" s="16">
        <v>0</v>
      </c>
    </row>
    <row r="56" spans="1:22" s="10" customFormat="1" ht="18" customHeight="1" hidden="1">
      <c r="A56" s="11" t="s">
        <v>433</v>
      </c>
      <c r="B56" s="795"/>
      <c r="C56" s="12"/>
      <c r="D56" s="21" t="s">
        <v>439</v>
      </c>
      <c r="E56" s="323" t="e">
        <f>#REF!+#REF!+#REF!+#REF!</f>
        <v>#REF!</v>
      </c>
      <c r="K56" s="324">
        <f aca="true" t="shared" si="13" ref="K56:K66">L56+M56+N56+O56</f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</v>
      </c>
      <c r="Q56" s="324">
        <f>R56+S56+T56+U56</f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s="10" customFormat="1" ht="15.75" customHeight="1" hidden="1">
      <c r="A57" s="11" t="s">
        <v>434</v>
      </c>
      <c r="B57" s="795"/>
      <c r="C57" s="12"/>
      <c r="D57" s="13"/>
      <c r="E57" s="323">
        <f aca="true" t="shared" si="14" ref="E57:E66">F57+G57+H57+I57</f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324">
        <f t="shared" si="13"/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v>0</v>
      </c>
      <c r="Q57" s="324">
        <f aca="true" t="shared" si="15" ref="Q57:Q66">R57+S57+T57+U57</f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s="10" customFormat="1" ht="15.75" customHeight="1" hidden="1">
      <c r="A58" s="11" t="s">
        <v>435</v>
      </c>
      <c r="B58" s="795"/>
      <c r="C58" s="12"/>
      <c r="D58" s="13"/>
      <c r="E58" s="323">
        <f t="shared" si="14"/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324">
        <f t="shared" si="13"/>
        <v>0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  <c r="Q58" s="324">
        <f t="shared" si="15"/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s="10" customFormat="1" ht="15.75" customHeight="1" hidden="1">
      <c r="A59" s="11" t="s">
        <v>436</v>
      </c>
      <c r="B59" s="795"/>
      <c r="C59" s="12"/>
      <c r="D59" s="13"/>
      <c r="E59" s="323">
        <f t="shared" si="14"/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324">
        <f t="shared" si="13"/>
        <v>0</v>
      </c>
      <c r="L59" s="326">
        <v>0</v>
      </c>
      <c r="M59" s="326">
        <v>0</v>
      </c>
      <c r="N59" s="326">
        <v>0</v>
      </c>
      <c r="O59" s="326">
        <v>0</v>
      </c>
      <c r="P59" s="326">
        <v>0</v>
      </c>
      <c r="Q59" s="324">
        <f t="shared" si="15"/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</row>
    <row r="60" spans="1:22" s="10" customFormat="1" ht="15.75" customHeight="1" hidden="1">
      <c r="A60" s="11" t="s">
        <v>437</v>
      </c>
      <c r="B60" s="795"/>
      <c r="C60" s="12"/>
      <c r="D60" s="13"/>
      <c r="E60" s="323">
        <f t="shared" si="14"/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324">
        <f t="shared" si="13"/>
        <v>0</v>
      </c>
      <c r="L60" s="326">
        <v>0</v>
      </c>
      <c r="M60" s="326">
        <v>0</v>
      </c>
      <c r="N60" s="326">
        <v>0</v>
      </c>
      <c r="O60" s="326">
        <v>0</v>
      </c>
      <c r="P60" s="326">
        <v>0</v>
      </c>
      <c r="Q60" s="324">
        <f t="shared" si="15"/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</row>
    <row r="61" spans="1:22" s="10" customFormat="1" ht="15.75" customHeight="1" hidden="1">
      <c r="A61" s="11" t="s">
        <v>438</v>
      </c>
      <c r="B61" s="795"/>
      <c r="C61" s="12"/>
      <c r="D61" s="13"/>
      <c r="E61" s="323">
        <f t="shared" si="14"/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324">
        <f t="shared" si="13"/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4">
        <f t="shared" si="15"/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</row>
    <row r="62" spans="1:22" s="10" customFormat="1" ht="15.75" customHeight="1" hidden="1">
      <c r="A62" s="11" t="s">
        <v>440</v>
      </c>
      <c r="B62" s="795"/>
      <c r="C62" s="12"/>
      <c r="D62" s="13"/>
      <c r="E62" s="323">
        <f t="shared" si="14"/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324">
        <f t="shared" si="13"/>
        <v>0</v>
      </c>
      <c r="L62" s="326">
        <v>0</v>
      </c>
      <c r="M62" s="326">
        <v>0</v>
      </c>
      <c r="N62" s="326">
        <v>0</v>
      </c>
      <c r="O62" s="326">
        <v>0</v>
      </c>
      <c r="P62" s="326">
        <v>0</v>
      </c>
      <c r="Q62" s="324">
        <f t="shared" si="15"/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</row>
    <row r="63" spans="1:22" s="10" customFormat="1" ht="15.75" customHeight="1" hidden="1">
      <c r="A63" s="11" t="s">
        <v>441</v>
      </c>
      <c r="B63" s="795"/>
      <c r="C63" s="12"/>
      <c r="D63" s="13"/>
      <c r="E63" s="323">
        <f t="shared" si="14"/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324">
        <f t="shared" si="13"/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0</v>
      </c>
      <c r="Q63" s="324">
        <f t="shared" si="15"/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</row>
    <row r="64" spans="1:22" s="10" customFormat="1" ht="15.75" customHeight="1" hidden="1">
      <c r="A64" s="11" t="s">
        <v>442</v>
      </c>
      <c r="B64" s="795"/>
      <c r="C64" s="12"/>
      <c r="D64" s="13"/>
      <c r="E64" s="323">
        <f t="shared" si="14"/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324">
        <f t="shared" si="13"/>
        <v>0</v>
      </c>
      <c r="L64" s="326">
        <v>0</v>
      </c>
      <c r="M64" s="326">
        <v>0</v>
      </c>
      <c r="N64" s="326">
        <v>0</v>
      </c>
      <c r="O64" s="326">
        <v>0</v>
      </c>
      <c r="P64" s="326">
        <v>0</v>
      </c>
      <c r="Q64" s="324">
        <f t="shared" si="15"/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</row>
    <row r="65" spans="1:22" s="10" customFormat="1" ht="15.75" customHeight="1" hidden="1">
      <c r="A65" s="11" t="s">
        <v>443</v>
      </c>
      <c r="B65" s="795"/>
      <c r="C65" s="12"/>
      <c r="D65" s="13"/>
      <c r="E65" s="323">
        <f t="shared" si="14"/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324">
        <f t="shared" si="13"/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0</v>
      </c>
      <c r="Q65" s="324">
        <f t="shared" si="15"/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</row>
    <row r="66" spans="1:22" s="10" customFormat="1" ht="15" hidden="1">
      <c r="A66" s="11" t="s">
        <v>444</v>
      </c>
      <c r="B66" s="795"/>
      <c r="C66" s="12"/>
      <c r="D66" s="21" t="s">
        <v>439</v>
      </c>
      <c r="E66" s="323">
        <f t="shared" si="14"/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324">
        <f t="shared" si="13"/>
        <v>0</v>
      </c>
      <c r="L66" s="326">
        <v>0</v>
      </c>
      <c r="M66" s="326">
        <v>0</v>
      </c>
      <c r="N66" s="326">
        <v>0</v>
      </c>
      <c r="O66" s="326">
        <v>0</v>
      </c>
      <c r="P66" s="326">
        <v>0</v>
      </c>
      <c r="Q66" s="324">
        <f t="shared" si="15"/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s="10" customFormat="1" ht="28.5" customHeight="1">
      <c r="A67" s="344" t="s">
        <v>445</v>
      </c>
      <c r="B67" s="345" t="s">
        <v>446</v>
      </c>
      <c r="C67" s="345"/>
      <c r="D67" s="346" t="s">
        <v>811</v>
      </c>
      <c r="E67" s="334">
        <f aca="true" t="shared" si="16" ref="E67:E73">F67+G67+H67+I67</f>
        <v>2490920</v>
      </c>
      <c r="F67" s="347">
        <f aca="true" t="shared" si="17" ref="F67:Q67">SUM(F68:F71)</f>
        <v>309500</v>
      </c>
      <c r="G67" s="347">
        <f t="shared" si="17"/>
        <v>161100</v>
      </c>
      <c r="H67" s="347">
        <f t="shared" si="17"/>
        <v>0</v>
      </c>
      <c r="I67" s="347">
        <f t="shared" si="17"/>
        <v>2020320</v>
      </c>
      <c r="J67" s="347">
        <f t="shared" si="17"/>
        <v>0</v>
      </c>
      <c r="K67" s="324">
        <f t="shared" si="17"/>
        <v>1956700</v>
      </c>
      <c r="L67" s="324">
        <f t="shared" si="17"/>
        <v>309500</v>
      </c>
      <c r="M67" s="324">
        <f t="shared" si="17"/>
        <v>322200</v>
      </c>
      <c r="N67" s="324">
        <f t="shared" si="17"/>
        <v>0</v>
      </c>
      <c r="O67" s="324">
        <f t="shared" si="17"/>
        <v>1101868.64</v>
      </c>
      <c r="P67" s="324">
        <f t="shared" si="17"/>
        <v>0</v>
      </c>
      <c r="Q67" s="324">
        <f t="shared" si="17"/>
        <v>1956700</v>
      </c>
      <c r="R67" s="23" t="e">
        <f>R68+#REF!</f>
        <v>#REF!</v>
      </c>
      <c r="S67" s="23" t="e">
        <f>S68+#REF!+S69+#REF!+S70+#REF!+S71+#REF!+#REF!+#REF!+#REF!</f>
        <v>#REF!</v>
      </c>
      <c r="T67" s="23" t="e">
        <f>T68+#REF!</f>
        <v>#REF!</v>
      </c>
      <c r="U67" s="23" t="e">
        <f>U68+#REF!</f>
        <v>#REF!</v>
      </c>
      <c r="V67" s="23" t="e">
        <f>V68+#REF!</f>
        <v>#REF!</v>
      </c>
    </row>
    <row r="68" spans="1:22" s="10" customFormat="1" ht="15.75" customHeight="1">
      <c r="A68" s="11" t="s">
        <v>447</v>
      </c>
      <c r="B68" s="801" t="s">
        <v>359</v>
      </c>
      <c r="C68" s="12"/>
      <c r="D68" s="21" t="s">
        <v>884</v>
      </c>
      <c r="E68" s="323">
        <f t="shared" si="16"/>
        <v>2273520</v>
      </c>
      <c r="F68" s="16">
        <v>309500</v>
      </c>
      <c r="G68" s="16">
        <v>0</v>
      </c>
      <c r="H68" s="16">
        <v>0</v>
      </c>
      <c r="I68" s="364">
        <f>1422800+14400+7000+412570-22800+54650-23100+38700+5200+54600</f>
        <v>1964020</v>
      </c>
      <c r="J68" s="16">
        <v>0</v>
      </c>
      <c r="K68" s="324">
        <v>1732300</v>
      </c>
      <c r="L68" s="326">
        <v>309500</v>
      </c>
      <c r="M68" s="326">
        <v>0</v>
      </c>
      <c r="N68" s="326">
        <v>0</v>
      </c>
      <c r="O68" s="16">
        <v>1101868.64</v>
      </c>
      <c r="P68" s="326">
        <v>0</v>
      </c>
      <c r="Q68" s="324">
        <v>1732300</v>
      </c>
      <c r="R68" s="16">
        <v>309500</v>
      </c>
      <c r="S68" s="16">
        <v>0</v>
      </c>
      <c r="T68" s="16">
        <v>0</v>
      </c>
      <c r="U68" s="16" t="e">
        <f>1225771.6-#REF!</f>
        <v>#REF!</v>
      </c>
      <c r="V68" s="16">
        <v>0</v>
      </c>
    </row>
    <row r="69" spans="1:22" s="10" customFormat="1" ht="15.75" customHeight="1" hidden="1">
      <c r="A69" s="11" t="s">
        <v>1032</v>
      </c>
      <c r="B69" s="802"/>
      <c r="C69" s="12"/>
      <c r="D69" s="21" t="s">
        <v>601</v>
      </c>
      <c r="E69" s="323">
        <f t="shared" si="16"/>
        <v>0</v>
      </c>
      <c r="F69" s="16">
        <v>0</v>
      </c>
      <c r="G69" s="16">
        <v>0</v>
      </c>
      <c r="H69" s="16">
        <v>0</v>
      </c>
      <c r="I69" s="364">
        <v>0</v>
      </c>
      <c r="J69" s="16">
        <v>0</v>
      </c>
      <c r="K69" s="324">
        <v>0</v>
      </c>
      <c r="L69" s="326">
        <v>0</v>
      </c>
      <c r="M69" s="326">
        <v>0</v>
      </c>
      <c r="N69" s="326">
        <v>0</v>
      </c>
      <c r="O69" s="326">
        <v>0</v>
      </c>
      <c r="P69" s="326">
        <v>0</v>
      </c>
      <c r="Q69" s="324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s="10" customFormat="1" ht="15.75" customHeight="1">
      <c r="A70" s="11" t="s">
        <v>448</v>
      </c>
      <c r="B70" s="802"/>
      <c r="C70" s="12"/>
      <c r="D70" s="21" t="s">
        <v>885</v>
      </c>
      <c r="E70" s="323">
        <f t="shared" si="16"/>
        <v>161100</v>
      </c>
      <c r="F70" s="16">
        <v>0</v>
      </c>
      <c r="G70" s="24">
        <v>161100</v>
      </c>
      <c r="H70" s="16">
        <v>0</v>
      </c>
      <c r="I70" s="364">
        <v>0</v>
      </c>
      <c r="J70" s="16">
        <v>0</v>
      </c>
      <c r="K70" s="324">
        <v>161100</v>
      </c>
      <c r="L70" s="326">
        <v>0</v>
      </c>
      <c r="M70" s="326">
        <v>322200</v>
      </c>
      <c r="N70" s="326">
        <v>0</v>
      </c>
      <c r="O70" s="326">
        <v>0</v>
      </c>
      <c r="P70" s="326">
        <v>0</v>
      </c>
      <c r="Q70" s="324">
        <v>161100</v>
      </c>
      <c r="R70" s="16">
        <v>0</v>
      </c>
      <c r="S70" s="24">
        <v>322200</v>
      </c>
      <c r="T70" s="16">
        <v>0</v>
      </c>
      <c r="U70" s="16">
        <v>0</v>
      </c>
      <c r="V70" s="16">
        <v>0</v>
      </c>
    </row>
    <row r="71" spans="1:22" s="10" customFormat="1" ht="15.75" customHeight="1">
      <c r="A71" s="456" t="s">
        <v>1033</v>
      </c>
      <c r="B71" s="802"/>
      <c r="C71" s="12"/>
      <c r="D71" s="21" t="s">
        <v>886</v>
      </c>
      <c r="E71" s="323">
        <f t="shared" si="16"/>
        <v>56300</v>
      </c>
      <c r="F71" s="16">
        <v>0</v>
      </c>
      <c r="G71" s="24">
        <v>0</v>
      </c>
      <c r="H71" s="16">
        <v>0</v>
      </c>
      <c r="I71" s="364">
        <f>63300-7000</f>
        <v>56300</v>
      </c>
      <c r="J71" s="16">
        <v>0</v>
      </c>
      <c r="K71" s="324">
        <v>63300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4">
        <v>63300</v>
      </c>
      <c r="R71" s="16">
        <v>0</v>
      </c>
      <c r="S71" s="24">
        <v>0</v>
      </c>
      <c r="T71" s="16">
        <v>0</v>
      </c>
      <c r="U71" s="16">
        <v>0</v>
      </c>
      <c r="V71" s="16">
        <v>0</v>
      </c>
    </row>
    <row r="72" spans="1:22" s="10" customFormat="1" ht="42.75" customHeight="1">
      <c r="A72" s="452" t="s">
        <v>1034</v>
      </c>
      <c r="B72" s="458" t="s">
        <v>777</v>
      </c>
      <c r="C72" s="453"/>
      <c r="D72" s="454" t="s">
        <v>812</v>
      </c>
      <c r="E72" s="323">
        <f>F72+G72+H72+I72</f>
        <v>193400</v>
      </c>
      <c r="F72" s="455">
        <f aca="true" t="shared" si="18" ref="F72:K72">F73</f>
        <v>193400</v>
      </c>
      <c r="G72" s="455">
        <f t="shared" si="18"/>
        <v>0</v>
      </c>
      <c r="H72" s="455">
        <f t="shared" si="18"/>
        <v>0</v>
      </c>
      <c r="I72" s="455">
        <f t="shared" si="18"/>
        <v>0</v>
      </c>
      <c r="J72" s="455">
        <f t="shared" si="18"/>
        <v>0</v>
      </c>
      <c r="K72" s="324">
        <f t="shared" si="18"/>
        <v>193400</v>
      </c>
      <c r="L72" s="324">
        <f aca="true" t="shared" si="19" ref="L72:Q72">L73</f>
        <v>0</v>
      </c>
      <c r="M72" s="324">
        <f t="shared" si="19"/>
        <v>0</v>
      </c>
      <c r="N72" s="324">
        <f t="shared" si="19"/>
        <v>0</v>
      </c>
      <c r="O72" s="324">
        <f t="shared" si="19"/>
        <v>0</v>
      </c>
      <c r="P72" s="324">
        <f t="shared" si="19"/>
        <v>0</v>
      </c>
      <c r="Q72" s="324">
        <f t="shared" si="19"/>
        <v>193400</v>
      </c>
      <c r="R72" s="16"/>
      <c r="S72" s="24"/>
      <c r="T72" s="16"/>
      <c r="U72" s="16"/>
      <c r="V72" s="16"/>
    </row>
    <row r="73" spans="1:22" s="10" customFormat="1" ht="15.75" customHeight="1">
      <c r="A73" s="457" t="s">
        <v>1035</v>
      </c>
      <c r="B73" s="449" t="s">
        <v>359</v>
      </c>
      <c r="C73" s="12"/>
      <c r="D73" s="21" t="s">
        <v>887</v>
      </c>
      <c r="E73" s="323">
        <f t="shared" si="16"/>
        <v>193400</v>
      </c>
      <c r="F73" s="16">
        <v>193400</v>
      </c>
      <c r="G73" s="24">
        <v>0</v>
      </c>
      <c r="H73" s="16">
        <v>0</v>
      </c>
      <c r="I73" s="364">
        <f>54650-54650</f>
        <v>0</v>
      </c>
      <c r="J73" s="16">
        <v>0</v>
      </c>
      <c r="K73" s="324">
        <v>193400</v>
      </c>
      <c r="L73" s="326"/>
      <c r="M73" s="326"/>
      <c r="N73" s="326"/>
      <c r="O73" s="326"/>
      <c r="P73" s="326"/>
      <c r="Q73" s="324">
        <v>193400</v>
      </c>
      <c r="R73" s="16"/>
      <c r="S73" s="24"/>
      <c r="T73" s="16"/>
      <c r="U73" s="16"/>
      <c r="V73" s="16"/>
    </row>
    <row r="74" spans="1:22" s="10" customFormat="1" ht="26.25" customHeight="1">
      <c r="A74" s="349" t="s">
        <v>1036</v>
      </c>
      <c r="B74" s="721" t="s">
        <v>450</v>
      </c>
      <c r="C74" s="350"/>
      <c r="D74" s="351" t="s">
        <v>451</v>
      </c>
      <c r="E74" s="334">
        <f>SUM(F74:I74)</f>
        <v>2460500</v>
      </c>
      <c r="F74" s="352">
        <f aca="true" t="shared" si="20" ref="F74:Q74">SUM(F75:F78)</f>
        <v>0</v>
      </c>
      <c r="G74" s="352">
        <f t="shared" si="20"/>
        <v>830000</v>
      </c>
      <c r="H74" s="352">
        <f t="shared" si="20"/>
        <v>0</v>
      </c>
      <c r="I74" s="352">
        <f t="shared" si="20"/>
        <v>1630500</v>
      </c>
      <c r="J74" s="352">
        <f t="shared" si="20"/>
        <v>0</v>
      </c>
      <c r="K74" s="367">
        <f t="shared" si="20"/>
        <v>103000</v>
      </c>
      <c r="L74" s="367">
        <f t="shared" si="20"/>
        <v>0</v>
      </c>
      <c r="M74" s="367">
        <f t="shared" si="20"/>
        <v>0</v>
      </c>
      <c r="N74" s="367">
        <f t="shared" si="20"/>
        <v>0</v>
      </c>
      <c r="O74" s="367">
        <f t="shared" si="20"/>
        <v>0</v>
      </c>
      <c r="P74" s="367">
        <f t="shared" si="20"/>
        <v>0</v>
      </c>
      <c r="Q74" s="367">
        <f t="shared" si="20"/>
        <v>103000</v>
      </c>
      <c r="R74" s="28" t="e">
        <f>R75+-R76+#REF!</f>
        <v>#REF!</v>
      </c>
      <c r="S74" s="28" t="e">
        <f>S75+-S76+#REF!</f>
        <v>#REF!</v>
      </c>
      <c r="T74" s="28" t="e">
        <f>T75+-T76+#REF!</f>
        <v>#REF!</v>
      </c>
      <c r="U74" s="28">
        <f>U75+U76</f>
        <v>211553.15</v>
      </c>
      <c r="V74" s="28" t="e">
        <f>V75+-V76+#REF!</f>
        <v>#REF!</v>
      </c>
    </row>
    <row r="75" spans="1:22" s="10" customFormat="1" ht="15.75" customHeight="1" hidden="1">
      <c r="A75" s="194" t="s">
        <v>452</v>
      </c>
      <c r="B75" s="799" t="s">
        <v>359</v>
      </c>
      <c r="C75" s="195"/>
      <c r="D75" s="21" t="s">
        <v>889</v>
      </c>
      <c r="E75" s="323">
        <f>F75+G75+H75+I75</f>
        <v>0</v>
      </c>
      <c r="F75" s="16">
        <v>0</v>
      </c>
      <c r="G75" s="24">
        <v>0</v>
      </c>
      <c r="H75" s="16">
        <v>0</v>
      </c>
      <c r="I75" s="16">
        <v>0</v>
      </c>
      <c r="J75" s="16">
        <v>0</v>
      </c>
      <c r="K75" s="324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67">
        <v>0</v>
      </c>
      <c r="R75" s="16">
        <v>0</v>
      </c>
      <c r="S75" s="24">
        <v>0</v>
      </c>
      <c r="T75" s="16">
        <v>0</v>
      </c>
      <c r="U75" s="16">
        <v>118686.48</v>
      </c>
      <c r="V75" s="16">
        <v>0</v>
      </c>
    </row>
    <row r="76" spans="1:22" s="10" customFormat="1" ht="15.75" customHeight="1">
      <c r="A76" s="194" t="s">
        <v>1037</v>
      </c>
      <c r="B76" s="800"/>
      <c r="C76" s="195"/>
      <c r="D76" s="21" t="s">
        <v>888</v>
      </c>
      <c r="E76" s="323">
        <f>F76+G76+H76+I76</f>
        <v>2460500</v>
      </c>
      <c r="F76" s="16">
        <v>0</v>
      </c>
      <c r="G76" s="24">
        <f>555000+275000</f>
        <v>830000</v>
      </c>
      <c r="H76" s="16">
        <v>0</v>
      </c>
      <c r="I76" s="16">
        <f>97000+10000+4400+4000-8400+23500+1500000</f>
        <v>1630500</v>
      </c>
      <c r="J76" s="16">
        <v>0</v>
      </c>
      <c r="K76" s="324">
        <v>97000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67">
        <v>97000</v>
      </c>
      <c r="R76" s="16">
        <v>0</v>
      </c>
      <c r="S76" s="24">
        <v>0</v>
      </c>
      <c r="T76" s="16">
        <v>0</v>
      </c>
      <c r="U76" s="16">
        <v>92866.67</v>
      </c>
      <c r="V76" s="16">
        <v>0</v>
      </c>
    </row>
    <row r="77" spans="1:22" s="10" customFormat="1" ht="15.75" customHeight="1">
      <c r="A77" s="194" t="s">
        <v>1038</v>
      </c>
      <c r="B77" s="800"/>
      <c r="C77" s="195"/>
      <c r="D77" s="21" t="s">
        <v>614</v>
      </c>
      <c r="E77" s="323">
        <f>F77+G77+H77+I77</f>
        <v>0</v>
      </c>
      <c r="F77" s="16">
        <v>0</v>
      </c>
      <c r="G77" s="24">
        <f>6000-6000</f>
        <v>0</v>
      </c>
      <c r="H77" s="16">
        <v>0</v>
      </c>
      <c r="I77" s="16">
        <v>0</v>
      </c>
      <c r="J77" s="16">
        <v>0</v>
      </c>
      <c r="K77" s="324">
        <v>6000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  <c r="Q77" s="367">
        <v>6000</v>
      </c>
      <c r="R77" s="16">
        <v>0</v>
      </c>
      <c r="S77" s="24">
        <v>6000</v>
      </c>
      <c r="T77" s="16">
        <v>0</v>
      </c>
      <c r="U77" s="16">
        <v>0</v>
      </c>
      <c r="V77" s="16">
        <v>0</v>
      </c>
    </row>
    <row r="78" spans="1:22" s="10" customFormat="1" ht="15.75" customHeight="1" hidden="1">
      <c r="A78" s="194" t="s">
        <v>453</v>
      </c>
      <c r="B78" s="800"/>
      <c r="C78" s="195"/>
      <c r="D78" s="21"/>
      <c r="E78" s="323">
        <f>F78+G78+H78+I78</f>
        <v>0</v>
      </c>
      <c r="F78" s="16">
        <v>0</v>
      </c>
      <c r="G78" s="24">
        <v>0</v>
      </c>
      <c r="H78" s="16">
        <v>0</v>
      </c>
      <c r="I78" s="16">
        <v>0</v>
      </c>
      <c r="J78" s="16">
        <v>0</v>
      </c>
      <c r="K78" s="324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67">
        <v>0</v>
      </c>
      <c r="R78" s="16">
        <v>0</v>
      </c>
      <c r="S78" s="24">
        <v>0</v>
      </c>
      <c r="T78" s="16">
        <v>0</v>
      </c>
      <c r="U78" s="16">
        <v>0</v>
      </c>
      <c r="V78" s="16">
        <v>0</v>
      </c>
    </row>
    <row r="79" spans="1:22" s="10" customFormat="1" ht="27.75" customHeight="1">
      <c r="A79" s="25" t="s">
        <v>1039</v>
      </c>
      <c r="B79" s="29" t="s">
        <v>454</v>
      </c>
      <c r="C79" s="26"/>
      <c r="D79" s="27" t="s">
        <v>455</v>
      </c>
      <c r="E79" s="323">
        <f>SUM(F79:I79)</f>
        <v>593834.65</v>
      </c>
      <c r="F79" s="28">
        <f>'Пр. №4 2019 год '!E99</f>
        <v>0</v>
      </c>
      <c r="G79" s="28">
        <f>G80+G81+G82+G83+G86</f>
        <v>82034.65</v>
      </c>
      <c r="H79" s="28">
        <f>H80+H81+H82+H83+H86</f>
        <v>0</v>
      </c>
      <c r="I79" s="28">
        <f>SUM(I80:I86)</f>
        <v>511800</v>
      </c>
      <c r="J79" s="28">
        <v>0</v>
      </c>
      <c r="K79" s="324">
        <f>SUM(K80:K86)</f>
        <v>629980.95</v>
      </c>
      <c r="L79" s="324">
        <f aca="true" t="shared" si="21" ref="L79:Q79">SUM(L80:L86)</f>
        <v>0</v>
      </c>
      <c r="M79" s="324">
        <f t="shared" si="21"/>
        <v>76230.95</v>
      </c>
      <c r="N79" s="324">
        <f t="shared" si="21"/>
        <v>0</v>
      </c>
      <c r="O79" s="324">
        <f t="shared" si="21"/>
        <v>619623.43</v>
      </c>
      <c r="P79" s="324">
        <f t="shared" si="21"/>
        <v>0</v>
      </c>
      <c r="Q79" s="324">
        <f t="shared" si="21"/>
        <v>629980.95</v>
      </c>
      <c r="R79" s="28">
        <f>R80+R81+R82</f>
        <v>0</v>
      </c>
      <c r="S79" s="28">
        <f>S80+S81+S82</f>
        <v>76230.95</v>
      </c>
      <c r="T79" s="28">
        <f>T80+T81+T82</f>
        <v>0</v>
      </c>
      <c r="U79" s="28">
        <f>U80+U81+U82</f>
        <v>732912.26</v>
      </c>
      <c r="V79" s="28">
        <f>V80+V81+V82</f>
        <v>0</v>
      </c>
    </row>
    <row r="80" spans="1:22" s="10" customFormat="1" ht="15.75" customHeight="1">
      <c r="A80" s="11" t="s">
        <v>1040</v>
      </c>
      <c r="B80" s="795" t="s">
        <v>359</v>
      </c>
      <c r="C80" s="12"/>
      <c r="D80" s="21" t="s">
        <v>896</v>
      </c>
      <c r="E80" s="323">
        <f aca="true" t="shared" si="22" ref="E80:E86">F80+G80+H80+I80</f>
        <v>70000</v>
      </c>
      <c r="F80" s="16">
        <v>0</v>
      </c>
      <c r="G80" s="24">
        <v>0</v>
      </c>
      <c r="H80" s="16">
        <v>0</v>
      </c>
      <c r="I80" s="16">
        <f>81700-11700</f>
        <v>70000</v>
      </c>
      <c r="J80" s="16">
        <v>0</v>
      </c>
      <c r="K80" s="324">
        <v>81700</v>
      </c>
      <c r="L80" s="326">
        <v>0</v>
      </c>
      <c r="M80" s="326">
        <v>0</v>
      </c>
      <c r="N80" s="326">
        <v>0</v>
      </c>
      <c r="O80" s="326">
        <v>619623.43</v>
      </c>
      <c r="P80" s="326">
        <v>0</v>
      </c>
      <c r="Q80" s="324">
        <v>81700</v>
      </c>
      <c r="R80" s="16">
        <v>0</v>
      </c>
      <c r="S80" s="24">
        <v>0</v>
      </c>
      <c r="T80" s="16">
        <v>0</v>
      </c>
      <c r="U80" s="16">
        <f>O80</f>
        <v>619623.43</v>
      </c>
      <c r="V80" s="16">
        <v>0</v>
      </c>
    </row>
    <row r="81" spans="1:22" s="10" customFormat="1" ht="15.75" customHeight="1">
      <c r="A81" s="11" t="s">
        <v>1041</v>
      </c>
      <c r="B81" s="795"/>
      <c r="C81" s="12"/>
      <c r="D81" s="21" t="s">
        <v>897</v>
      </c>
      <c r="E81" s="323">
        <f t="shared" si="22"/>
        <v>377900</v>
      </c>
      <c r="F81" s="16">
        <v>0</v>
      </c>
      <c r="G81" s="24">
        <v>0</v>
      </c>
      <c r="H81" s="16">
        <v>0</v>
      </c>
      <c r="I81" s="16">
        <f>400000-14400-7700</f>
        <v>377900</v>
      </c>
      <c r="J81" s="16">
        <v>0</v>
      </c>
      <c r="K81" s="324">
        <v>400000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4">
        <v>400000</v>
      </c>
      <c r="R81" s="16">
        <v>0</v>
      </c>
      <c r="S81" s="24">
        <v>0</v>
      </c>
      <c r="T81" s="16">
        <v>0</v>
      </c>
      <c r="U81" s="16">
        <f>16560+72715.5+24013.33</f>
        <v>113288.83</v>
      </c>
      <c r="V81" s="16">
        <v>0</v>
      </c>
    </row>
    <row r="82" spans="1:22" s="10" customFormat="1" ht="15.75" customHeight="1">
      <c r="A82" s="11" t="s">
        <v>1042</v>
      </c>
      <c r="B82" s="795"/>
      <c r="C82" s="12"/>
      <c r="D82" s="13" t="s">
        <v>809</v>
      </c>
      <c r="E82" s="323">
        <f t="shared" si="22"/>
        <v>11915.089999999997</v>
      </c>
      <c r="F82" s="16">
        <v>0</v>
      </c>
      <c r="G82" s="24">
        <f>69568.56+6663-0.66+0.05-630-60108.86-871-2706</f>
        <v>11915.089999999997</v>
      </c>
      <c r="H82" s="16">
        <v>0</v>
      </c>
      <c r="I82" s="16">
        <v>0</v>
      </c>
      <c r="J82" s="16">
        <v>0</v>
      </c>
      <c r="K82" s="324">
        <v>76230.95</v>
      </c>
      <c r="L82" s="326">
        <v>0</v>
      </c>
      <c r="M82" s="326">
        <v>76230.95</v>
      </c>
      <c r="N82" s="326">
        <v>0</v>
      </c>
      <c r="O82" s="326">
        <v>0</v>
      </c>
      <c r="P82" s="326">
        <v>0</v>
      </c>
      <c r="Q82" s="324">
        <v>76230.95</v>
      </c>
      <c r="R82" s="16">
        <v>0</v>
      </c>
      <c r="S82" s="24">
        <f>76231.56-0.66+0.05</f>
        <v>76230.95</v>
      </c>
      <c r="T82" s="16">
        <v>0</v>
      </c>
      <c r="U82" s="16">
        <v>0</v>
      </c>
      <c r="V82" s="16">
        <v>0</v>
      </c>
    </row>
    <row r="83" spans="1:22" s="10" customFormat="1" ht="15.75" customHeight="1">
      <c r="A83" s="11" t="s">
        <v>1043</v>
      </c>
      <c r="B83" s="795"/>
      <c r="C83" s="12"/>
      <c r="D83" s="13" t="s">
        <v>810</v>
      </c>
      <c r="E83" s="323">
        <f t="shared" si="22"/>
        <v>3139.7</v>
      </c>
      <c r="F83" s="16">
        <v>0</v>
      </c>
      <c r="G83" s="24">
        <f>4050+360-1050-220.3</f>
        <v>3139.7</v>
      </c>
      <c r="H83" s="16">
        <v>0</v>
      </c>
      <c r="I83" s="16">
        <v>0</v>
      </c>
      <c r="J83" s="16">
        <v>0</v>
      </c>
      <c r="K83" s="324">
        <v>4050</v>
      </c>
      <c r="L83" s="326">
        <v>0</v>
      </c>
      <c r="M83" s="326">
        <v>0</v>
      </c>
      <c r="N83" s="326">
        <v>0</v>
      </c>
      <c r="O83" s="326">
        <v>0</v>
      </c>
      <c r="P83" s="326">
        <v>0</v>
      </c>
      <c r="Q83" s="324">
        <v>4050</v>
      </c>
      <c r="R83" s="16">
        <f>L83</f>
        <v>0</v>
      </c>
      <c r="S83" s="24">
        <v>0</v>
      </c>
      <c r="T83" s="16">
        <v>0</v>
      </c>
      <c r="U83" s="16">
        <v>0</v>
      </c>
      <c r="V83" s="16">
        <v>0</v>
      </c>
    </row>
    <row r="84" spans="1:22" s="10" customFormat="1" ht="15.75" customHeight="1">
      <c r="A84" s="11" t="s">
        <v>1044</v>
      </c>
      <c r="B84" s="795"/>
      <c r="C84" s="12"/>
      <c r="D84" s="13" t="s">
        <v>898</v>
      </c>
      <c r="E84" s="323">
        <f t="shared" si="22"/>
        <v>44500</v>
      </c>
      <c r="F84" s="16">
        <v>0</v>
      </c>
      <c r="G84" s="24">
        <v>0</v>
      </c>
      <c r="H84" s="16">
        <v>0</v>
      </c>
      <c r="I84" s="16">
        <f>68000-23500</f>
        <v>44500</v>
      </c>
      <c r="J84" s="16">
        <v>0</v>
      </c>
      <c r="K84" s="324">
        <v>68000</v>
      </c>
      <c r="L84" s="326">
        <v>0</v>
      </c>
      <c r="M84" s="326"/>
      <c r="N84" s="326">
        <v>0</v>
      </c>
      <c r="O84" s="326">
        <v>0</v>
      </c>
      <c r="P84" s="326">
        <v>0</v>
      </c>
      <c r="Q84" s="324">
        <v>68000</v>
      </c>
      <c r="R84" s="16">
        <f>L84</f>
        <v>0</v>
      </c>
      <c r="S84" s="24"/>
      <c r="T84" s="16">
        <v>0</v>
      </c>
      <c r="U84" s="16">
        <v>0</v>
      </c>
      <c r="V84" s="16">
        <v>0</v>
      </c>
    </row>
    <row r="85" spans="1:22" s="10" customFormat="1" ht="15.75" customHeight="1">
      <c r="A85" s="11" t="s">
        <v>1045</v>
      </c>
      <c r="B85" s="795"/>
      <c r="C85" s="12"/>
      <c r="D85" s="13" t="s">
        <v>951</v>
      </c>
      <c r="E85" s="323">
        <f>F85+G85+H85+I85</f>
        <v>19400</v>
      </c>
      <c r="F85" s="16">
        <v>0</v>
      </c>
      <c r="G85" s="24">
        <v>0</v>
      </c>
      <c r="H85" s="16">
        <v>0</v>
      </c>
      <c r="I85" s="16">
        <f>7700+11700</f>
        <v>19400</v>
      </c>
      <c r="J85" s="16">
        <v>0</v>
      </c>
      <c r="K85" s="324">
        <v>0</v>
      </c>
      <c r="L85" s="326">
        <v>0</v>
      </c>
      <c r="M85" s="326"/>
      <c r="N85" s="326">
        <v>0</v>
      </c>
      <c r="O85" s="326">
        <v>0</v>
      </c>
      <c r="P85" s="326">
        <v>0</v>
      </c>
      <c r="Q85" s="324">
        <v>0</v>
      </c>
      <c r="R85" s="16">
        <f>L85</f>
        <v>0</v>
      </c>
      <c r="S85" s="24"/>
      <c r="T85" s="16">
        <v>0</v>
      </c>
      <c r="U85" s="16">
        <v>0</v>
      </c>
      <c r="V85" s="16">
        <v>0</v>
      </c>
    </row>
    <row r="86" spans="1:22" s="10" customFormat="1" ht="15.75" customHeight="1">
      <c r="A86" s="11" t="s">
        <v>1046</v>
      </c>
      <c r="B86" s="795"/>
      <c r="C86" s="12"/>
      <c r="D86" s="13" t="s">
        <v>1116</v>
      </c>
      <c r="E86" s="323">
        <f t="shared" si="22"/>
        <v>66979.86</v>
      </c>
      <c r="F86" s="16">
        <v>0</v>
      </c>
      <c r="G86" s="24">
        <f>60108.86+6871</f>
        <v>66979.86</v>
      </c>
      <c r="H86" s="16">
        <v>0</v>
      </c>
      <c r="I86" s="16">
        <v>0</v>
      </c>
      <c r="J86" s="16">
        <v>0</v>
      </c>
      <c r="K86" s="324">
        <v>0</v>
      </c>
      <c r="L86" s="326">
        <v>0</v>
      </c>
      <c r="M86" s="326"/>
      <c r="N86" s="326">
        <v>0</v>
      </c>
      <c r="O86" s="326">
        <v>0</v>
      </c>
      <c r="P86" s="326">
        <v>0</v>
      </c>
      <c r="Q86" s="324">
        <v>0</v>
      </c>
      <c r="R86" s="16">
        <f>L86</f>
        <v>0</v>
      </c>
      <c r="S86" s="24"/>
      <c r="T86" s="16">
        <v>0</v>
      </c>
      <c r="U86" s="16">
        <v>0</v>
      </c>
      <c r="V86" s="16">
        <v>0</v>
      </c>
    </row>
    <row r="87" spans="1:22" s="10" customFormat="1" ht="25.5" customHeight="1">
      <c r="A87" s="353" t="s">
        <v>456</v>
      </c>
      <c r="B87" s="354" t="s">
        <v>457</v>
      </c>
      <c r="C87" s="354">
        <v>300</v>
      </c>
      <c r="D87" s="355" t="s">
        <v>377</v>
      </c>
      <c r="E87" s="356">
        <f>F87+G87+H87+J87</f>
        <v>0</v>
      </c>
      <c r="F87" s="357">
        <f>F88</f>
        <v>0</v>
      </c>
      <c r="G87" s="357">
        <f>G88</f>
        <v>0</v>
      </c>
      <c r="H87" s="357">
        <f>H88</f>
        <v>0</v>
      </c>
      <c r="I87" s="357">
        <f>I88</f>
        <v>5200</v>
      </c>
      <c r="J87" s="357">
        <f>J88</f>
        <v>0</v>
      </c>
      <c r="K87" s="356">
        <v>0</v>
      </c>
      <c r="L87" s="357"/>
      <c r="M87" s="357"/>
      <c r="N87" s="357"/>
      <c r="O87" s="357"/>
      <c r="P87" s="357"/>
      <c r="Q87" s="356">
        <v>0</v>
      </c>
      <c r="R87" s="9">
        <f>R8</f>
        <v>15767100</v>
      </c>
      <c r="S87" s="9">
        <f>S8</f>
        <v>416960.95</v>
      </c>
      <c r="T87" s="9">
        <f>T8</f>
        <v>0</v>
      </c>
      <c r="U87" s="9">
        <f>U8</f>
        <v>13337442.09</v>
      </c>
      <c r="V87" s="9">
        <f>V8</f>
        <v>0</v>
      </c>
    </row>
    <row r="88" spans="1:22" s="10" customFormat="1" ht="25.5" customHeight="1">
      <c r="A88" s="30">
        <v>1</v>
      </c>
      <c r="B88" s="12" t="s">
        <v>458</v>
      </c>
      <c r="C88" s="12">
        <v>310</v>
      </c>
      <c r="D88" s="31"/>
      <c r="E88" s="308"/>
      <c r="F88" s="16"/>
      <c r="G88" s="16"/>
      <c r="H88" s="16"/>
      <c r="I88" s="16">
        <v>5200</v>
      </c>
      <c r="J88" s="16"/>
      <c r="K88" s="32"/>
      <c r="L88" s="16"/>
      <c r="M88" s="16"/>
      <c r="N88" s="16"/>
      <c r="O88" s="16"/>
      <c r="P88" s="16"/>
      <c r="Q88" s="32"/>
      <c r="R88" s="16"/>
      <c r="S88" s="16"/>
      <c r="T88" s="16"/>
      <c r="U88" s="16"/>
      <c r="V88" s="16"/>
    </row>
    <row r="89" spans="1:22" s="10" customFormat="1" ht="18" customHeight="1">
      <c r="A89" s="30">
        <v>2</v>
      </c>
      <c r="B89" s="12" t="s">
        <v>459</v>
      </c>
      <c r="C89" s="12">
        <v>320</v>
      </c>
      <c r="D89" s="31"/>
      <c r="E89" s="32"/>
      <c r="F89" s="16"/>
      <c r="G89" s="16"/>
      <c r="H89" s="16"/>
      <c r="I89" s="16"/>
      <c r="J89" s="16"/>
      <c r="K89" s="32"/>
      <c r="L89" s="16"/>
      <c r="M89" s="16"/>
      <c r="N89" s="16"/>
      <c r="O89" s="16"/>
      <c r="P89" s="16"/>
      <c r="Q89" s="32"/>
      <c r="R89" s="16"/>
      <c r="S89" s="16"/>
      <c r="T89" s="16"/>
      <c r="U89" s="16"/>
      <c r="V89" s="16"/>
    </row>
    <row r="90" spans="1:22" s="10" customFormat="1" ht="25.5" customHeight="1">
      <c r="A90" s="353" t="s">
        <v>460</v>
      </c>
      <c r="B90" s="354" t="s">
        <v>461</v>
      </c>
      <c r="C90" s="354">
        <v>400</v>
      </c>
      <c r="D90" s="358"/>
      <c r="E90" s="356">
        <f>F90+G90+H90+I90</f>
        <v>0</v>
      </c>
      <c r="F90" s="357"/>
      <c r="G90" s="357"/>
      <c r="H90" s="357"/>
      <c r="I90" s="357"/>
      <c r="J90" s="357"/>
      <c r="K90" s="356"/>
      <c r="L90" s="357"/>
      <c r="M90" s="357"/>
      <c r="N90" s="357"/>
      <c r="O90" s="357"/>
      <c r="P90" s="357"/>
      <c r="Q90" s="356"/>
      <c r="R90" s="9">
        <f>'Пр. №4 2019 год '!P114</f>
        <v>3837309.67</v>
      </c>
      <c r="S90" s="9">
        <f>'Пр. №4 2019 год '!R114</f>
        <v>0</v>
      </c>
      <c r="T90" s="9">
        <v>0</v>
      </c>
      <c r="U90" s="9">
        <f>'Пр. №4 2019 год '!T114+'Пр. №4 2019 год '!U114+'Пр. №4 2019 год '!W114</f>
        <v>12843902.26</v>
      </c>
      <c r="V90" s="9">
        <v>0</v>
      </c>
    </row>
    <row r="91" spans="1:22" s="10" customFormat="1" ht="27.75" customHeight="1">
      <c r="A91" s="30">
        <v>1</v>
      </c>
      <c r="B91" s="12" t="s">
        <v>462</v>
      </c>
      <c r="C91" s="12">
        <v>410</v>
      </c>
      <c r="D91" s="31"/>
      <c r="E91" s="32"/>
      <c r="F91" s="16"/>
      <c r="G91" s="16"/>
      <c r="H91" s="16"/>
      <c r="I91" s="16"/>
      <c r="J91" s="16"/>
      <c r="K91" s="32"/>
      <c r="L91" s="16"/>
      <c r="M91" s="16"/>
      <c r="N91" s="16"/>
      <c r="O91" s="16"/>
      <c r="P91" s="16"/>
      <c r="Q91" s="32"/>
      <c r="R91" s="16"/>
      <c r="S91" s="16"/>
      <c r="T91" s="16"/>
      <c r="U91" s="16"/>
      <c r="V91" s="16"/>
    </row>
    <row r="92" spans="1:22" s="10" customFormat="1" ht="15" customHeight="1">
      <c r="A92" s="30">
        <v>2</v>
      </c>
      <c r="B92" s="12" t="s">
        <v>463</v>
      </c>
      <c r="C92" s="12">
        <v>420</v>
      </c>
      <c r="D92" s="31"/>
      <c r="E92" s="32"/>
      <c r="F92" s="16"/>
      <c r="G92" s="16"/>
      <c r="H92" s="16"/>
      <c r="I92" s="16"/>
      <c r="J92" s="16"/>
      <c r="K92" s="32"/>
      <c r="L92" s="16"/>
      <c r="M92" s="16"/>
      <c r="N92" s="16"/>
      <c r="O92" s="16"/>
      <c r="P92" s="16"/>
      <c r="Q92" s="32"/>
      <c r="R92" s="16"/>
      <c r="S92" s="16"/>
      <c r="T92" s="16"/>
      <c r="U92" s="16"/>
      <c r="V92" s="16"/>
    </row>
    <row r="93" spans="1:22" s="10" customFormat="1" ht="27" customHeight="1">
      <c r="A93" s="353" t="s">
        <v>464</v>
      </c>
      <c r="B93" s="354" t="s">
        <v>465</v>
      </c>
      <c r="C93" s="354">
        <v>500</v>
      </c>
      <c r="D93" s="355" t="s">
        <v>377</v>
      </c>
      <c r="E93" s="356">
        <f>I93+F93</f>
        <v>1014508.13</v>
      </c>
      <c r="F93" s="359">
        <v>117611.46</v>
      </c>
      <c r="G93" s="359">
        <v>0</v>
      </c>
      <c r="H93" s="359">
        <v>0</v>
      </c>
      <c r="I93" s="588">
        <f>862526.67+34370</f>
        <v>896896.67</v>
      </c>
      <c r="J93" s="359">
        <v>0</v>
      </c>
      <c r="K93" s="360">
        <f>O93</f>
        <v>0</v>
      </c>
      <c r="L93" s="359">
        <v>0</v>
      </c>
      <c r="M93" s="359">
        <v>0</v>
      </c>
      <c r="N93" s="359">
        <v>0</v>
      </c>
      <c r="O93" s="359">
        <v>0</v>
      </c>
      <c r="P93" s="359">
        <v>0</v>
      </c>
      <c r="Q93" s="360">
        <f>U93</f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</row>
    <row r="94" spans="1:22" s="10" customFormat="1" ht="28.5" customHeight="1">
      <c r="A94" s="353" t="s">
        <v>466</v>
      </c>
      <c r="B94" s="354" t="s">
        <v>467</v>
      </c>
      <c r="C94" s="354">
        <v>600</v>
      </c>
      <c r="D94" s="361" t="s">
        <v>377</v>
      </c>
      <c r="E94" s="356">
        <v>0</v>
      </c>
      <c r="F94" s="359">
        <f>F8+F93-F18</f>
        <v>0</v>
      </c>
      <c r="G94" s="359">
        <v>0</v>
      </c>
      <c r="H94" s="359">
        <v>0</v>
      </c>
      <c r="I94" s="359">
        <f>I8+I93-I18+I87</f>
        <v>0</v>
      </c>
      <c r="J94" s="359">
        <v>0</v>
      </c>
      <c r="K94" s="360">
        <v>0</v>
      </c>
      <c r="L94" s="359">
        <v>0</v>
      </c>
      <c r="M94" s="359">
        <v>0</v>
      </c>
      <c r="N94" s="359">
        <v>0</v>
      </c>
      <c r="O94" s="359">
        <v>0</v>
      </c>
      <c r="P94" s="359">
        <v>0</v>
      </c>
      <c r="Q94" s="360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</row>
  </sheetData>
  <sheetProtection selectLockedCells="1" selectUnlockedCells="1"/>
  <mergeCells count="31">
    <mergeCell ref="B1:J1"/>
    <mergeCell ref="G5:G6"/>
    <mergeCell ref="E3:V3"/>
    <mergeCell ref="T5:T6"/>
    <mergeCell ref="B46:B48"/>
    <mergeCell ref="F4:J4"/>
    <mergeCell ref="R5:R6"/>
    <mergeCell ref="U5:V5"/>
    <mergeCell ref="B68:B71"/>
    <mergeCell ref="H5:H6"/>
    <mergeCell ref="F5:F6"/>
    <mergeCell ref="L5:L6"/>
    <mergeCell ref="M5:M6"/>
    <mergeCell ref="N5:N6"/>
    <mergeCell ref="B80:B86"/>
    <mergeCell ref="B52:B53"/>
    <mergeCell ref="B55:B66"/>
    <mergeCell ref="I5:J5"/>
    <mergeCell ref="E4:E6"/>
    <mergeCell ref="S5:S6"/>
    <mergeCell ref="K4:K6"/>
    <mergeCell ref="R4:V4"/>
    <mergeCell ref="L4:P4"/>
    <mergeCell ref="B75:B78"/>
    <mergeCell ref="A2:A6"/>
    <mergeCell ref="B2:B6"/>
    <mergeCell ref="C2:C6"/>
    <mergeCell ref="D2:D6"/>
    <mergeCell ref="E2:V2"/>
    <mergeCell ref="O5:P5"/>
    <mergeCell ref="Q4:Q6"/>
  </mergeCells>
  <printOptions/>
  <pageMargins left="0.2755905511811024" right="0.2362204724409449" top="0.1968503937007874" bottom="0.2362204724409449" header="0.15748031496062992" footer="0.2755905511811024"/>
  <pageSetup fitToHeight="0" horizontalDpi="300" verticalDpi="300" orientation="landscape" paperSize="9" scale="70" r:id="rId3"/>
  <rowBreaks count="1" manualBreakCount="1">
    <brk id="5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B12"/>
  <sheetViews>
    <sheetView zoomScale="75" zoomScaleNormal="75" zoomScalePageLayoutView="0" workbookViewId="0" topLeftCell="A1">
      <selection activeCell="D8" sqref="D8"/>
    </sheetView>
  </sheetViews>
  <sheetFormatPr defaultColWidth="9.140625" defaultRowHeight="15" customHeight="1"/>
  <cols>
    <col min="1" max="1" width="18.140625" style="0" customWidth="1"/>
    <col min="4" max="4" width="14.28125" style="0" customWidth="1"/>
    <col min="5" max="5" width="15.4218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8.00390625" style="0" customWidth="1"/>
    <col min="10" max="10" width="15.8515625" style="0" customWidth="1"/>
    <col min="11" max="11" width="15.00390625" style="0" customWidth="1"/>
    <col min="12" max="12" width="13.421875" style="0" customWidth="1"/>
  </cols>
  <sheetData>
    <row r="1" spans="1:28" ht="32.25" customHeight="1">
      <c r="A1" s="805" t="s">
        <v>647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12" ht="15.75" customHeight="1">
      <c r="A2" s="806" t="s">
        <v>340</v>
      </c>
      <c r="B2" s="806" t="s">
        <v>366</v>
      </c>
      <c r="C2" s="806" t="s">
        <v>472</v>
      </c>
      <c r="D2" s="793" t="s">
        <v>272</v>
      </c>
      <c r="E2" s="793"/>
      <c r="F2" s="793"/>
      <c r="G2" s="793"/>
      <c r="H2" s="793"/>
      <c r="I2" s="793"/>
      <c r="J2" s="793"/>
      <c r="K2" s="793"/>
      <c r="L2" s="793"/>
    </row>
    <row r="3" spans="1:12" ht="15.75" customHeight="1">
      <c r="A3" s="806"/>
      <c r="B3" s="806"/>
      <c r="C3" s="806"/>
      <c r="D3" s="793" t="s">
        <v>473</v>
      </c>
      <c r="E3" s="793"/>
      <c r="F3" s="793"/>
      <c r="G3" s="793" t="s">
        <v>343</v>
      </c>
      <c r="H3" s="793"/>
      <c r="I3" s="793"/>
      <c r="J3" s="793"/>
      <c r="K3" s="793"/>
      <c r="L3" s="793"/>
    </row>
    <row r="4" spans="1:12" ht="69.75" customHeight="1">
      <c r="A4" s="806"/>
      <c r="B4" s="806"/>
      <c r="C4" s="806"/>
      <c r="D4" s="793"/>
      <c r="E4" s="793"/>
      <c r="F4" s="793"/>
      <c r="G4" s="807" t="s">
        <v>474</v>
      </c>
      <c r="H4" s="807"/>
      <c r="I4" s="807"/>
      <c r="J4" s="792" t="s">
        <v>475</v>
      </c>
      <c r="K4" s="792"/>
      <c r="L4" s="792"/>
    </row>
    <row r="5" spans="1:12" ht="60" customHeight="1">
      <c r="A5" s="806"/>
      <c r="B5" s="806"/>
      <c r="C5" s="806"/>
      <c r="D5" s="39" t="s">
        <v>645</v>
      </c>
      <c r="E5" s="39" t="s">
        <v>924</v>
      </c>
      <c r="F5" s="39" t="s">
        <v>921</v>
      </c>
      <c r="G5" s="39" t="s">
        <v>645</v>
      </c>
      <c r="H5" s="39" t="s">
        <v>922</v>
      </c>
      <c r="I5" s="39" t="s">
        <v>923</v>
      </c>
      <c r="J5" s="39" t="s">
        <v>645</v>
      </c>
      <c r="K5" s="39" t="s">
        <v>922</v>
      </c>
      <c r="L5" s="39" t="s">
        <v>646</v>
      </c>
    </row>
    <row r="6" spans="1:12" ht="1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</row>
    <row r="7" spans="1:12" ht="60" customHeight="1">
      <c r="A7" s="40" t="s">
        <v>476</v>
      </c>
      <c r="B7" s="39">
        <v>1</v>
      </c>
      <c r="C7" s="39" t="s">
        <v>377</v>
      </c>
      <c r="D7" s="41">
        <v>9841154.65</v>
      </c>
      <c r="E7" s="41">
        <f>'Пр.1 Раздел 4'!K42</f>
        <v>7218140.95</v>
      </c>
      <c r="F7" s="41">
        <f>'Пр.1 Раздел 4'!Q42</f>
        <v>7258840.95</v>
      </c>
      <c r="G7" s="41">
        <f>D7</f>
        <v>9841154.65</v>
      </c>
      <c r="H7" s="41">
        <f>E7</f>
        <v>7218140.95</v>
      </c>
      <c r="I7" s="41">
        <f>F7</f>
        <v>7258840.95</v>
      </c>
      <c r="J7" s="41">
        <f>SUM(J8:J12)</f>
        <v>0</v>
      </c>
      <c r="K7" s="41">
        <f>SUM(K8:K12)</f>
        <v>0</v>
      </c>
      <c r="L7" s="41">
        <f>SUM(L8:L12)</f>
        <v>0</v>
      </c>
    </row>
    <row r="8" spans="1:12" ht="75" customHeight="1">
      <c r="A8" s="42" t="s">
        <v>477</v>
      </c>
      <c r="B8" s="39">
        <v>1001</v>
      </c>
      <c r="C8" s="39" t="s">
        <v>377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ht="75" customHeight="1">
      <c r="A9" s="42" t="s">
        <v>478</v>
      </c>
      <c r="B9" s="38">
        <v>2001</v>
      </c>
      <c r="C9" s="39" t="s">
        <v>377</v>
      </c>
      <c r="D9" s="41">
        <f aca="true" t="shared" si="0" ref="D9:I9">D7</f>
        <v>9841154.65</v>
      </c>
      <c r="E9" s="41">
        <f t="shared" si="0"/>
        <v>7218140.95</v>
      </c>
      <c r="F9" s="41">
        <f t="shared" si="0"/>
        <v>7258840.95</v>
      </c>
      <c r="G9" s="41">
        <f t="shared" si="0"/>
        <v>9841154.65</v>
      </c>
      <c r="H9" s="41">
        <f t="shared" si="0"/>
        <v>7218140.95</v>
      </c>
      <c r="I9" s="41">
        <f t="shared" si="0"/>
        <v>7258840.95</v>
      </c>
      <c r="J9" s="41">
        <f>SUM(J10:J14)</f>
        <v>0</v>
      </c>
      <c r="K9" s="41">
        <f>SUM(K10:K14)</f>
        <v>0</v>
      </c>
      <c r="L9" s="41">
        <f>SUM(L10:L14)</f>
        <v>0</v>
      </c>
    </row>
    <row r="10" spans="1:12" ht="75" customHeight="1">
      <c r="A10" s="42" t="s">
        <v>609</v>
      </c>
      <c r="B10" s="39">
        <v>2002</v>
      </c>
      <c r="C10" s="39">
        <v>2019</v>
      </c>
      <c r="D10" s="41">
        <f>D7</f>
        <v>9841154.65</v>
      </c>
      <c r="E10" s="39" t="s">
        <v>377</v>
      </c>
      <c r="F10" s="39" t="s">
        <v>377</v>
      </c>
      <c r="G10" s="41">
        <f>G7</f>
        <v>9841154.65</v>
      </c>
      <c r="H10" s="39" t="s">
        <v>377</v>
      </c>
      <c r="I10" s="39" t="s">
        <v>377</v>
      </c>
      <c r="J10" s="41">
        <v>0</v>
      </c>
      <c r="K10" s="41">
        <v>0</v>
      </c>
      <c r="L10" s="41">
        <v>0</v>
      </c>
    </row>
    <row r="11" spans="1:12" ht="75" customHeight="1">
      <c r="A11" s="42" t="s">
        <v>609</v>
      </c>
      <c r="B11" s="39">
        <v>2003</v>
      </c>
      <c r="C11" s="39">
        <v>2020</v>
      </c>
      <c r="D11" s="39" t="s">
        <v>377</v>
      </c>
      <c r="E11" s="41">
        <f>E7</f>
        <v>7218140.95</v>
      </c>
      <c r="F11" s="39" t="s">
        <v>377</v>
      </c>
      <c r="G11" s="39" t="s">
        <v>377</v>
      </c>
      <c r="H11" s="41">
        <f>H7</f>
        <v>7218140.95</v>
      </c>
      <c r="I11" s="39" t="s">
        <v>377</v>
      </c>
      <c r="J11" s="41">
        <v>0</v>
      </c>
      <c r="K11" s="41">
        <v>0</v>
      </c>
      <c r="L11" s="41">
        <v>0</v>
      </c>
    </row>
    <row r="12" spans="1:12" ht="60" customHeight="1">
      <c r="A12" s="42" t="s">
        <v>609</v>
      </c>
      <c r="B12" s="38">
        <v>2004</v>
      </c>
      <c r="C12" s="38">
        <v>2021</v>
      </c>
      <c r="D12" s="39" t="s">
        <v>377</v>
      </c>
      <c r="E12" s="39" t="s">
        <v>377</v>
      </c>
      <c r="F12" s="41">
        <f>F7</f>
        <v>7258840.95</v>
      </c>
      <c r="G12" s="39" t="s">
        <v>377</v>
      </c>
      <c r="H12" s="39" t="s">
        <v>377</v>
      </c>
      <c r="I12" s="41">
        <f>I7</f>
        <v>7258840.95</v>
      </c>
      <c r="J12" s="41">
        <v>0</v>
      </c>
      <c r="K12" s="41">
        <v>0</v>
      </c>
      <c r="L12" s="41">
        <v>0</v>
      </c>
    </row>
  </sheetData>
  <sheetProtection selectLockedCells="1" selectUnlockedCells="1"/>
  <mergeCells count="9">
    <mergeCell ref="A1:L1"/>
    <mergeCell ref="A2:A5"/>
    <mergeCell ref="B2:B5"/>
    <mergeCell ref="C2:C5"/>
    <mergeCell ref="D2:L2"/>
    <mergeCell ref="D3:F4"/>
    <mergeCell ref="G3:L3"/>
    <mergeCell ref="G4:I4"/>
    <mergeCell ref="J4:L4"/>
  </mergeCells>
  <printOptions/>
  <pageMargins left="0.49027777777777776" right="0.44027777777777777" top="0.7298611111111111" bottom="1" header="0.5118055555555555" footer="0.5118055555555555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26"/>
  <sheetViews>
    <sheetView zoomScalePageLayoutView="0" workbookViewId="0" topLeftCell="A7">
      <selection activeCell="A22" sqref="A22"/>
    </sheetView>
  </sheetViews>
  <sheetFormatPr defaultColWidth="9.140625" defaultRowHeight="15" customHeight="1"/>
  <cols>
    <col min="1" max="1" width="45.7109375" style="0" customWidth="1"/>
    <col min="2" max="2" width="18.421875" style="0" customWidth="1"/>
    <col min="3" max="3" width="23.8515625" style="0" customWidth="1"/>
  </cols>
  <sheetData>
    <row r="1" spans="1:5" ht="37.5" customHeight="1">
      <c r="A1" s="809" t="s">
        <v>648</v>
      </c>
      <c r="B1" s="809"/>
      <c r="C1" s="809"/>
      <c r="D1" s="44"/>
      <c r="E1" s="44"/>
    </row>
    <row r="2" spans="1:3" ht="24.75" customHeight="1">
      <c r="A2" s="809" t="s">
        <v>479</v>
      </c>
      <c r="B2" s="809"/>
      <c r="C2" s="809"/>
    </row>
    <row r="3" spans="1:3" ht="15.75" customHeight="1">
      <c r="A3" s="810"/>
      <c r="B3" s="810"/>
      <c r="C3" s="810"/>
    </row>
    <row r="4" spans="1:3" ht="42" customHeight="1">
      <c r="A4" s="39" t="s">
        <v>340</v>
      </c>
      <c r="B4" s="39" t="s">
        <v>366</v>
      </c>
      <c r="C4" s="38" t="s">
        <v>480</v>
      </c>
    </row>
    <row r="5" spans="1:3" ht="15" customHeight="1">
      <c r="A5" s="38">
        <v>1</v>
      </c>
      <c r="B5" s="38">
        <v>2</v>
      </c>
      <c r="C5" s="38">
        <v>3</v>
      </c>
    </row>
    <row r="6" spans="1:3" ht="21" customHeight="1">
      <c r="A6" s="43" t="s">
        <v>465</v>
      </c>
      <c r="B6" s="38">
        <v>10</v>
      </c>
      <c r="C6" s="709">
        <v>30470.4</v>
      </c>
    </row>
    <row r="7" spans="1:3" ht="15" customHeight="1">
      <c r="A7" s="43" t="s">
        <v>467</v>
      </c>
      <c r="B7" s="38">
        <v>20</v>
      </c>
      <c r="C7" s="709">
        <v>0</v>
      </c>
    </row>
    <row r="8" spans="1:3" ht="15" customHeight="1">
      <c r="A8" s="43" t="s">
        <v>481</v>
      </c>
      <c r="B8" s="38">
        <v>30</v>
      </c>
      <c r="C8" s="709"/>
    </row>
    <row r="9" spans="1:3" ht="15" customHeight="1">
      <c r="A9" s="43"/>
      <c r="B9" s="38"/>
      <c r="C9" s="709"/>
    </row>
    <row r="10" spans="1:3" ht="15" customHeight="1">
      <c r="A10" s="43" t="s">
        <v>482</v>
      </c>
      <c r="B10" s="38">
        <v>40</v>
      </c>
      <c r="C10" s="709"/>
    </row>
    <row r="11" spans="1:3" ht="15" customHeight="1">
      <c r="A11" s="43"/>
      <c r="B11" s="43"/>
      <c r="C11" s="45"/>
    </row>
    <row r="13" spans="1:12" ht="15.75" customHeight="1">
      <c r="A13" s="808"/>
      <c r="B13" s="808"/>
      <c r="C13" s="808"/>
      <c r="D13" s="46"/>
      <c r="E13" s="46"/>
      <c r="F13" s="46"/>
      <c r="G13" s="47"/>
      <c r="H13" s="46"/>
      <c r="I13" s="46"/>
      <c r="J13" s="46"/>
      <c r="K13" s="46"/>
      <c r="L13" s="46"/>
    </row>
    <row r="14" spans="1:12" ht="15.75" customHeight="1">
      <c r="A14" s="811" t="s">
        <v>483</v>
      </c>
      <c r="B14" s="811"/>
      <c r="C14" s="811"/>
      <c r="D14" s="46"/>
      <c r="E14" s="46"/>
      <c r="F14" s="46"/>
      <c r="G14" s="47"/>
      <c r="H14" s="46"/>
      <c r="I14" s="46"/>
      <c r="J14" s="46"/>
      <c r="K14" s="46"/>
      <c r="L14" s="46"/>
    </row>
    <row r="15" spans="1:12" ht="15.75" customHeight="1">
      <c r="A15" s="812"/>
      <c r="B15" s="812"/>
      <c r="C15" s="812"/>
      <c r="D15" s="46"/>
      <c r="E15" s="46"/>
      <c r="F15" s="46"/>
      <c r="G15" s="47"/>
      <c r="H15" s="46"/>
      <c r="I15" s="46"/>
      <c r="J15" s="46"/>
      <c r="K15" s="46"/>
      <c r="L15" s="46"/>
    </row>
    <row r="16" spans="1:12" ht="15.75" customHeight="1">
      <c r="A16" s="38" t="s">
        <v>340</v>
      </c>
      <c r="B16" s="38" t="s">
        <v>366</v>
      </c>
      <c r="C16" s="38" t="s">
        <v>484</v>
      </c>
      <c r="D16" s="46"/>
      <c r="E16" s="46"/>
      <c r="F16" s="46"/>
      <c r="G16" s="47"/>
      <c r="H16" s="46"/>
      <c r="I16" s="46"/>
      <c r="J16" s="46"/>
      <c r="K16" s="46"/>
      <c r="L16" s="46"/>
    </row>
    <row r="17" spans="1:12" ht="15.75" customHeight="1">
      <c r="A17" s="38">
        <v>1</v>
      </c>
      <c r="B17" s="38">
        <v>2</v>
      </c>
      <c r="C17" s="38">
        <v>3</v>
      </c>
      <c r="D17" s="46"/>
      <c r="E17" s="46"/>
      <c r="F17" s="46"/>
      <c r="G17" s="47"/>
      <c r="H17" s="46"/>
      <c r="I17" s="46"/>
      <c r="J17" s="46"/>
      <c r="K17" s="46"/>
      <c r="L17" s="46"/>
    </row>
    <row r="18" spans="1:12" ht="36.75" customHeight="1">
      <c r="A18" s="48" t="s">
        <v>485</v>
      </c>
      <c r="B18" s="39">
        <v>10</v>
      </c>
      <c r="C18" s="41"/>
      <c r="D18" s="46"/>
      <c r="E18" s="46"/>
      <c r="F18" s="46"/>
      <c r="G18" s="47"/>
      <c r="H18" s="46"/>
      <c r="I18" s="46"/>
      <c r="J18" s="46"/>
      <c r="K18" s="46"/>
      <c r="L18" s="46"/>
    </row>
    <row r="19" spans="1:12" ht="75" customHeight="1">
      <c r="A19" s="48" t="s">
        <v>486</v>
      </c>
      <c r="B19" s="39">
        <v>20</v>
      </c>
      <c r="C19" s="41"/>
      <c r="D19" s="46"/>
      <c r="E19" s="46"/>
      <c r="F19" s="46"/>
      <c r="G19" s="47"/>
      <c r="H19" s="46"/>
      <c r="I19" s="46"/>
      <c r="J19" s="46"/>
      <c r="K19" s="46"/>
      <c r="L19" s="46"/>
    </row>
    <row r="20" spans="1:12" ht="50.25" customHeight="1">
      <c r="A20" s="49" t="s">
        <v>487</v>
      </c>
      <c r="B20" s="39">
        <v>30</v>
      </c>
      <c r="C20" s="41"/>
      <c r="D20" s="46"/>
      <c r="E20" s="46"/>
      <c r="F20" s="46"/>
      <c r="G20" s="47"/>
      <c r="H20" s="46"/>
      <c r="I20" s="46"/>
      <c r="J20" s="46"/>
      <c r="K20" s="46"/>
      <c r="L20" s="46"/>
    </row>
    <row r="21" spans="1:12" ht="15.75" customHeight="1">
      <c r="A21" s="808"/>
      <c r="B21" s="808"/>
      <c r="C21" s="808"/>
      <c r="D21" s="46"/>
      <c r="E21" s="46"/>
      <c r="F21" s="46"/>
      <c r="G21" s="47"/>
      <c r="H21" s="46"/>
      <c r="I21" s="46"/>
      <c r="J21" s="46"/>
      <c r="K21" s="46"/>
      <c r="L21" s="46"/>
    </row>
    <row r="22" spans="1:12" ht="24" customHeight="1">
      <c r="A22" s="736" t="s">
        <v>1055</v>
      </c>
      <c r="B22" s="321"/>
      <c r="C22" s="708" t="s">
        <v>1119</v>
      </c>
      <c r="D22" s="36"/>
      <c r="E22" s="46"/>
      <c r="F22" s="46"/>
      <c r="G22" s="47"/>
      <c r="H22" s="46"/>
      <c r="I22" s="46"/>
      <c r="J22" s="46"/>
      <c r="K22" s="46"/>
      <c r="L22" s="46"/>
    </row>
    <row r="23" spans="2:4" ht="15" customHeight="1">
      <c r="B23" s="51" t="s">
        <v>469</v>
      </c>
      <c r="C23" s="52" t="s">
        <v>470</v>
      </c>
      <c r="D23" s="53"/>
    </row>
    <row r="24" spans="1:11" ht="21.75" customHeight="1">
      <c r="A24" s="54"/>
      <c r="D24" s="54"/>
      <c r="E24" s="54"/>
      <c r="F24" s="54"/>
      <c r="G24" s="54"/>
      <c r="H24" s="54"/>
      <c r="I24" s="54"/>
      <c r="J24" s="54"/>
      <c r="K24" s="54"/>
    </row>
    <row r="25" spans="1:3" ht="35.25" customHeight="1">
      <c r="A25" s="58" t="s">
        <v>660</v>
      </c>
      <c r="B25" s="50"/>
      <c r="C25" s="708" t="s">
        <v>832</v>
      </c>
    </row>
    <row r="26" spans="1:3" ht="15" customHeight="1">
      <c r="A26" s="51" t="s">
        <v>471</v>
      </c>
      <c r="B26" s="51" t="s">
        <v>469</v>
      </c>
      <c r="C26" s="52" t="s">
        <v>470</v>
      </c>
    </row>
  </sheetData>
  <sheetProtection selectLockedCells="1" selectUnlockedCells="1"/>
  <mergeCells count="7">
    <mergeCell ref="A21:C21"/>
    <mergeCell ref="A1:C1"/>
    <mergeCell ref="A2:C2"/>
    <mergeCell ref="A3:C3"/>
    <mergeCell ref="A13:C13"/>
    <mergeCell ref="A14:C14"/>
    <mergeCell ref="A15:C15"/>
  </mergeCells>
  <printOptions/>
  <pageMargins left="0.75" right="0.75" top="0.7298611111111111" bottom="0.5097222222222222" header="0.5118055555555555" footer="0.511805555555555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AQ124"/>
  <sheetViews>
    <sheetView zoomScale="74" zoomScaleNormal="74" zoomScaleSheetLayoutView="65" zoomScalePageLayoutView="0" workbookViewId="0" topLeftCell="A1">
      <pane xSplit="3" ySplit="9" topLeftCell="D11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19" sqref="D119"/>
    </sheetView>
  </sheetViews>
  <sheetFormatPr defaultColWidth="9.140625" defaultRowHeight="12" customHeight="1"/>
  <cols>
    <col min="1" max="1" width="7.140625" style="421" customWidth="1"/>
    <col min="2" max="2" width="32.57421875" style="488" customWidth="1"/>
    <col min="3" max="3" width="6.57421875" style="421" customWidth="1"/>
    <col min="4" max="4" width="13.7109375" style="421" customWidth="1"/>
    <col min="5" max="5" width="13.140625" style="421" customWidth="1"/>
    <col min="6" max="6" width="11.8515625" style="421" customWidth="1"/>
    <col min="7" max="7" width="6.00390625" style="421" customWidth="1"/>
    <col min="8" max="8" width="13.57421875" style="421" customWidth="1"/>
    <col min="9" max="9" width="10.140625" style="421" customWidth="1"/>
    <col min="10" max="10" width="4.8515625" style="421" customWidth="1"/>
    <col min="11" max="11" width="11.00390625" style="421" customWidth="1"/>
    <col min="12" max="12" width="13.8515625" style="421" customWidth="1"/>
    <col min="13" max="13" width="12.8515625" style="421" customWidth="1"/>
    <col min="14" max="14" width="11.8515625" style="421" customWidth="1"/>
    <col min="15" max="15" width="6.140625" style="421" customWidth="1"/>
    <col min="16" max="16" width="13.140625" style="421" customWidth="1"/>
    <col min="17" max="17" width="6.57421875" style="421" customWidth="1"/>
    <col min="18" max="18" width="5.00390625" style="421" customWidth="1"/>
    <col min="19" max="19" width="11.7109375" style="421" customWidth="1"/>
    <col min="20" max="20" width="13.8515625" style="421" customWidth="1"/>
    <col min="21" max="21" width="12.8515625" style="421" customWidth="1"/>
    <col min="22" max="22" width="11.8515625" style="421" customWidth="1"/>
    <col min="23" max="23" width="7.140625" style="421" customWidth="1"/>
    <col min="24" max="24" width="11.57421875" style="421" customWidth="1"/>
    <col min="25" max="25" width="10.28125" style="421" customWidth="1"/>
    <col min="26" max="26" width="6.00390625" style="421" customWidth="1"/>
    <col min="27" max="27" width="11.140625" style="421" customWidth="1"/>
    <col min="28" max="28" width="12.57421875" style="421" customWidth="1"/>
    <col min="29" max="29" width="12.421875" style="421" customWidth="1"/>
    <col min="30" max="30" width="12.00390625" style="421" customWidth="1"/>
    <col min="31" max="31" width="7.140625" style="421" customWidth="1"/>
    <col min="32" max="32" width="12.57421875" style="421" customWidth="1"/>
    <col min="33" max="33" width="6.140625" style="421" customWidth="1"/>
    <col min="34" max="34" width="5.57421875" style="421" customWidth="1"/>
    <col min="35" max="35" width="11.57421875" style="421" customWidth="1"/>
    <col min="36" max="37" width="12.8515625" style="421" customWidth="1"/>
    <col min="38" max="38" width="7.140625" style="421" customWidth="1"/>
    <col min="39" max="39" width="7.00390625" style="421" customWidth="1"/>
    <col min="40" max="40" width="13.421875" style="421" customWidth="1"/>
    <col min="41" max="41" width="5.57421875" style="421" customWidth="1"/>
    <col min="42" max="42" width="5.8515625" style="421" customWidth="1"/>
    <col min="43" max="43" width="10.421875" style="421" customWidth="1"/>
    <col min="44" max="16384" width="9.140625" style="421" customWidth="1"/>
  </cols>
  <sheetData>
    <row r="1" spans="5:43" ht="7.5" customHeight="1"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U1" s="816"/>
      <c r="V1" s="816"/>
      <c r="W1" s="816"/>
      <c r="X1" s="816"/>
      <c r="AC1" s="816"/>
      <c r="AD1" s="816"/>
      <c r="AE1" s="816"/>
      <c r="AF1" s="816"/>
      <c r="AK1" s="489"/>
      <c r="AL1" s="489"/>
      <c r="AM1" s="817" t="s">
        <v>246</v>
      </c>
      <c r="AN1" s="817"/>
      <c r="AO1" s="817"/>
      <c r="AP1" s="817"/>
      <c r="AQ1" s="817"/>
    </row>
    <row r="2" spans="5:43" ht="13.5" customHeight="1"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U2" s="490"/>
      <c r="V2" s="490"/>
      <c r="W2" s="490"/>
      <c r="X2" s="490"/>
      <c r="AC2" s="490"/>
      <c r="AD2" s="490"/>
      <c r="AE2" s="490"/>
      <c r="AF2" s="490"/>
      <c r="AK2" s="489"/>
      <c r="AL2" s="489"/>
      <c r="AM2" s="817"/>
      <c r="AN2" s="817"/>
      <c r="AO2" s="817"/>
      <c r="AP2" s="817"/>
      <c r="AQ2" s="817"/>
    </row>
    <row r="3" spans="1:43" ht="47.25" customHeight="1">
      <c r="A3" s="683"/>
      <c r="B3" s="683"/>
      <c r="C3" s="683"/>
      <c r="D3" s="683" t="s">
        <v>153</v>
      </c>
      <c r="E3" s="683"/>
      <c r="F3" s="683"/>
      <c r="G3" s="683"/>
      <c r="H3" s="683"/>
      <c r="I3" s="683"/>
      <c r="J3" s="683"/>
      <c r="K3" s="683"/>
      <c r="M3" s="491"/>
      <c r="U3" s="491"/>
      <c r="AC3" s="491"/>
      <c r="AK3" s="491"/>
      <c r="AM3" s="817"/>
      <c r="AN3" s="817"/>
      <c r="AO3" s="817"/>
      <c r="AP3" s="817"/>
      <c r="AQ3" s="817"/>
    </row>
    <row r="4" spans="1:40" ht="12.75">
      <c r="A4" s="492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U4" s="813"/>
      <c r="V4" s="813"/>
      <c r="W4" s="813"/>
      <c r="X4" s="813"/>
      <c r="AC4" s="813"/>
      <c r="AD4" s="813"/>
      <c r="AE4" s="813"/>
      <c r="AF4" s="813"/>
      <c r="AK4" s="813"/>
      <c r="AL4" s="813"/>
      <c r="AM4" s="813"/>
      <c r="AN4" s="813"/>
    </row>
    <row r="5" spans="1:43" s="493" customFormat="1" ht="12.75">
      <c r="A5" s="818" t="s">
        <v>75</v>
      </c>
      <c r="B5" s="819" t="s">
        <v>76</v>
      </c>
      <c r="C5" s="814" t="s">
        <v>77</v>
      </c>
      <c r="D5" s="814" t="s">
        <v>78</v>
      </c>
      <c r="E5" s="814" t="s">
        <v>79</v>
      </c>
      <c r="F5" s="814"/>
      <c r="G5" s="814"/>
      <c r="H5" s="814"/>
      <c r="I5" s="814"/>
      <c r="J5" s="814"/>
      <c r="K5" s="814"/>
      <c r="L5" s="814" t="s">
        <v>80</v>
      </c>
      <c r="M5" s="814"/>
      <c r="N5" s="814"/>
      <c r="O5" s="814"/>
      <c r="P5" s="814"/>
      <c r="Q5" s="814"/>
      <c r="R5" s="814"/>
      <c r="S5" s="814"/>
      <c r="T5" s="814" t="s">
        <v>80</v>
      </c>
      <c r="U5" s="814"/>
      <c r="V5" s="814"/>
      <c r="W5" s="814"/>
      <c r="X5" s="814"/>
      <c r="Y5" s="814"/>
      <c r="Z5" s="814"/>
      <c r="AA5" s="814"/>
      <c r="AB5" s="814" t="s">
        <v>80</v>
      </c>
      <c r="AC5" s="814"/>
      <c r="AD5" s="814"/>
      <c r="AE5" s="814"/>
      <c r="AF5" s="814"/>
      <c r="AG5" s="814"/>
      <c r="AH5" s="814"/>
      <c r="AI5" s="814"/>
      <c r="AJ5" s="814" t="s">
        <v>80</v>
      </c>
      <c r="AK5" s="814"/>
      <c r="AL5" s="814"/>
      <c r="AM5" s="814"/>
      <c r="AN5" s="814"/>
      <c r="AO5" s="814"/>
      <c r="AP5" s="814"/>
      <c r="AQ5" s="814"/>
    </row>
    <row r="6" spans="1:43" s="493" customFormat="1" ht="57.75" customHeight="1">
      <c r="A6" s="818"/>
      <c r="B6" s="820"/>
      <c r="C6" s="814"/>
      <c r="D6" s="814"/>
      <c r="E6" s="814" t="s">
        <v>81</v>
      </c>
      <c r="F6" s="822" t="s">
        <v>82</v>
      </c>
      <c r="G6" s="814" t="s">
        <v>83</v>
      </c>
      <c r="H6" s="818" t="s">
        <v>84</v>
      </c>
      <c r="I6" s="818"/>
      <c r="J6" s="818"/>
      <c r="K6" s="818"/>
      <c r="L6" s="815" t="s">
        <v>85</v>
      </c>
      <c r="M6" s="814" t="s">
        <v>79</v>
      </c>
      <c r="N6" s="814"/>
      <c r="O6" s="814"/>
      <c r="P6" s="814"/>
      <c r="Q6" s="814"/>
      <c r="R6" s="814"/>
      <c r="S6" s="814"/>
      <c r="T6" s="815" t="s">
        <v>86</v>
      </c>
      <c r="U6" s="814" t="s">
        <v>79</v>
      </c>
      <c r="V6" s="814"/>
      <c r="W6" s="814"/>
      <c r="X6" s="814"/>
      <c r="Y6" s="814"/>
      <c r="Z6" s="814"/>
      <c r="AA6" s="814"/>
      <c r="AB6" s="815" t="s">
        <v>87</v>
      </c>
      <c r="AC6" s="814" t="s">
        <v>79</v>
      </c>
      <c r="AD6" s="814"/>
      <c r="AE6" s="814"/>
      <c r="AF6" s="814"/>
      <c r="AG6" s="814"/>
      <c r="AH6" s="814"/>
      <c r="AI6" s="814"/>
      <c r="AJ6" s="825" t="s">
        <v>88</v>
      </c>
      <c r="AK6" s="814" t="s">
        <v>79</v>
      </c>
      <c r="AL6" s="814"/>
      <c r="AM6" s="814"/>
      <c r="AN6" s="814"/>
      <c r="AO6" s="814"/>
      <c r="AP6" s="814"/>
      <c r="AQ6" s="814"/>
    </row>
    <row r="7" spans="1:43" s="493" customFormat="1" ht="55.5" customHeight="1">
      <c r="A7" s="818"/>
      <c r="B7" s="820"/>
      <c r="C7" s="814"/>
      <c r="D7" s="814"/>
      <c r="E7" s="814"/>
      <c r="F7" s="823"/>
      <c r="G7" s="814"/>
      <c r="H7" s="814" t="s">
        <v>89</v>
      </c>
      <c r="I7" s="814" t="s">
        <v>90</v>
      </c>
      <c r="J7" s="814" t="s">
        <v>91</v>
      </c>
      <c r="K7" s="814" t="s">
        <v>92</v>
      </c>
      <c r="L7" s="815"/>
      <c r="M7" s="814" t="s">
        <v>81</v>
      </c>
      <c r="N7" s="814" t="s">
        <v>82</v>
      </c>
      <c r="O7" s="814" t="s">
        <v>83</v>
      </c>
      <c r="P7" s="814" t="s">
        <v>84</v>
      </c>
      <c r="Q7" s="814"/>
      <c r="R7" s="814"/>
      <c r="S7" s="814"/>
      <c r="T7" s="815"/>
      <c r="U7" s="814" t="s">
        <v>81</v>
      </c>
      <c r="V7" s="814" t="s">
        <v>82</v>
      </c>
      <c r="W7" s="814" t="s">
        <v>83</v>
      </c>
      <c r="X7" s="814" t="s">
        <v>84</v>
      </c>
      <c r="Y7" s="814"/>
      <c r="Z7" s="814"/>
      <c r="AA7" s="814"/>
      <c r="AB7" s="815"/>
      <c r="AC7" s="814" t="s">
        <v>81</v>
      </c>
      <c r="AD7" s="814" t="s">
        <v>82</v>
      </c>
      <c r="AE7" s="814" t="s">
        <v>83</v>
      </c>
      <c r="AF7" s="814" t="s">
        <v>84</v>
      </c>
      <c r="AG7" s="814"/>
      <c r="AH7" s="814"/>
      <c r="AI7" s="814"/>
      <c r="AJ7" s="825"/>
      <c r="AK7" s="814" t="s">
        <v>81</v>
      </c>
      <c r="AL7" s="814" t="s">
        <v>82</v>
      </c>
      <c r="AM7" s="814" t="s">
        <v>83</v>
      </c>
      <c r="AN7" s="814" t="s">
        <v>84</v>
      </c>
      <c r="AO7" s="814"/>
      <c r="AP7" s="814"/>
      <c r="AQ7" s="814"/>
    </row>
    <row r="8" spans="1:43" s="493" customFormat="1" ht="30" customHeight="1">
      <c r="A8" s="818"/>
      <c r="B8" s="820"/>
      <c r="C8" s="814"/>
      <c r="D8" s="814"/>
      <c r="E8" s="814"/>
      <c r="F8" s="823"/>
      <c r="G8" s="814"/>
      <c r="H8" s="814"/>
      <c r="I8" s="814"/>
      <c r="J8" s="814"/>
      <c r="K8" s="814"/>
      <c r="L8" s="815"/>
      <c r="M8" s="814"/>
      <c r="N8" s="814"/>
      <c r="O8" s="814"/>
      <c r="P8" s="814" t="s">
        <v>89</v>
      </c>
      <c r="Q8" s="814" t="s">
        <v>90</v>
      </c>
      <c r="R8" s="814" t="s">
        <v>91</v>
      </c>
      <c r="S8" s="814" t="s">
        <v>92</v>
      </c>
      <c r="T8" s="815"/>
      <c r="U8" s="814"/>
      <c r="V8" s="814"/>
      <c r="W8" s="814"/>
      <c r="X8" s="814" t="s">
        <v>89</v>
      </c>
      <c r="Y8" s="814" t="s">
        <v>90</v>
      </c>
      <c r="Z8" s="814" t="s">
        <v>91</v>
      </c>
      <c r="AA8" s="814" t="s">
        <v>92</v>
      </c>
      <c r="AB8" s="815"/>
      <c r="AC8" s="814"/>
      <c r="AD8" s="814"/>
      <c r="AE8" s="814"/>
      <c r="AF8" s="814" t="s">
        <v>89</v>
      </c>
      <c r="AG8" s="814" t="s">
        <v>90</v>
      </c>
      <c r="AH8" s="814" t="s">
        <v>91</v>
      </c>
      <c r="AI8" s="814" t="s">
        <v>92</v>
      </c>
      <c r="AJ8" s="825"/>
      <c r="AK8" s="814"/>
      <c r="AL8" s="814"/>
      <c r="AM8" s="814"/>
      <c r="AN8" s="814" t="s">
        <v>89</v>
      </c>
      <c r="AO8" s="814" t="s">
        <v>90</v>
      </c>
      <c r="AP8" s="814" t="s">
        <v>91</v>
      </c>
      <c r="AQ8" s="814" t="s">
        <v>92</v>
      </c>
    </row>
    <row r="9" spans="1:43" s="493" customFormat="1" ht="60.75" customHeight="1">
      <c r="A9" s="818"/>
      <c r="B9" s="821"/>
      <c r="C9" s="814"/>
      <c r="D9" s="814"/>
      <c r="E9" s="814"/>
      <c r="F9" s="824"/>
      <c r="G9" s="814"/>
      <c r="H9" s="814"/>
      <c r="I9" s="814"/>
      <c r="J9" s="814"/>
      <c r="K9" s="814"/>
      <c r="L9" s="815"/>
      <c r="M9" s="814"/>
      <c r="N9" s="814"/>
      <c r="O9" s="814"/>
      <c r="P9" s="814"/>
      <c r="Q9" s="814"/>
      <c r="R9" s="814"/>
      <c r="S9" s="814"/>
      <c r="T9" s="815"/>
      <c r="U9" s="814"/>
      <c r="V9" s="814"/>
      <c r="W9" s="814"/>
      <c r="X9" s="814"/>
      <c r="Y9" s="814"/>
      <c r="Z9" s="814"/>
      <c r="AA9" s="814"/>
      <c r="AB9" s="815"/>
      <c r="AC9" s="814"/>
      <c r="AD9" s="814"/>
      <c r="AE9" s="814"/>
      <c r="AF9" s="814"/>
      <c r="AG9" s="814"/>
      <c r="AH9" s="814"/>
      <c r="AI9" s="814"/>
      <c r="AJ9" s="825"/>
      <c r="AK9" s="814"/>
      <c r="AL9" s="814"/>
      <c r="AM9" s="814"/>
      <c r="AN9" s="814"/>
      <c r="AO9" s="814"/>
      <c r="AP9" s="814"/>
      <c r="AQ9" s="814"/>
    </row>
    <row r="10" spans="1:43" ht="29.25" customHeight="1">
      <c r="A10" s="316" t="s">
        <v>394</v>
      </c>
      <c r="B10" s="494" t="s">
        <v>395</v>
      </c>
      <c r="C10" s="466">
        <v>210</v>
      </c>
      <c r="D10" s="495">
        <f>E10+F10+G10+H10+I10+J10+K10</f>
        <v>18199626.67</v>
      </c>
      <c r="E10" s="495">
        <f>E11+E12</f>
        <v>11255500</v>
      </c>
      <c r="F10" s="495">
        <f aca="true" t="shared" si="0" ref="F10:K10">F11+F12</f>
        <v>0</v>
      </c>
      <c r="G10" s="495">
        <f t="shared" si="0"/>
        <v>0</v>
      </c>
      <c r="H10" s="495">
        <f>H11+H12</f>
        <v>6944126.67</v>
      </c>
      <c r="I10" s="495">
        <f>I11+I12</f>
        <v>0</v>
      </c>
      <c r="J10" s="495">
        <v>0</v>
      </c>
      <c r="K10" s="495">
        <f t="shared" si="0"/>
        <v>0</v>
      </c>
      <c r="L10" s="546">
        <f>SUM(M10:S10)</f>
        <v>6803576.67</v>
      </c>
      <c r="M10" s="495">
        <f>M11+M12</f>
        <v>4401200</v>
      </c>
      <c r="N10" s="495">
        <f aca="true" t="shared" si="1" ref="N10:S10">N11+N12</f>
        <v>0</v>
      </c>
      <c r="O10" s="495">
        <f t="shared" si="1"/>
        <v>0</v>
      </c>
      <c r="P10" s="495">
        <f t="shared" si="1"/>
        <v>2402376.67</v>
      </c>
      <c r="Q10" s="495">
        <f t="shared" si="1"/>
        <v>0</v>
      </c>
      <c r="R10" s="495">
        <f t="shared" si="1"/>
        <v>0</v>
      </c>
      <c r="S10" s="495">
        <f t="shared" si="1"/>
        <v>0</v>
      </c>
      <c r="T10" s="496">
        <f aca="true" t="shared" si="2" ref="T10:T20">SUM(U10:AA10)</f>
        <v>4408100</v>
      </c>
      <c r="U10" s="495">
        <f aca="true" t="shared" si="3" ref="U10:AA10">U11+U12</f>
        <v>2941400</v>
      </c>
      <c r="V10" s="495">
        <f t="shared" si="3"/>
        <v>0</v>
      </c>
      <c r="W10" s="495">
        <f t="shared" si="3"/>
        <v>0</v>
      </c>
      <c r="X10" s="495">
        <f t="shared" si="3"/>
        <v>1466700</v>
      </c>
      <c r="Y10" s="495">
        <f t="shared" si="3"/>
        <v>0</v>
      </c>
      <c r="Z10" s="495">
        <f t="shared" si="3"/>
        <v>0</v>
      </c>
      <c r="AA10" s="495">
        <f t="shared" si="3"/>
        <v>0</v>
      </c>
      <c r="AB10" s="496">
        <f aca="true" t="shared" si="4" ref="AB10:AB20">SUM(AC10:AI10)</f>
        <v>3711900</v>
      </c>
      <c r="AC10" s="495">
        <f aca="true" t="shared" si="5" ref="AC10:AI10">AC11+AC12</f>
        <v>2063000</v>
      </c>
      <c r="AD10" s="495">
        <f t="shared" si="5"/>
        <v>0</v>
      </c>
      <c r="AE10" s="495">
        <f t="shared" si="5"/>
        <v>0</v>
      </c>
      <c r="AF10" s="495">
        <f t="shared" si="5"/>
        <v>1648900</v>
      </c>
      <c r="AG10" s="495">
        <f t="shared" si="5"/>
        <v>0</v>
      </c>
      <c r="AH10" s="495">
        <f t="shared" si="5"/>
        <v>0</v>
      </c>
      <c r="AI10" s="495">
        <f t="shared" si="5"/>
        <v>0</v>
      </c>
      <c r="AJ10" s="496">
        <f aca="true" t="shared" si="6" ref="AJ10:AJ20">SUM(AK10:AQ10)</f>
        <v>3276050</v>
      </c>
      <c r="AK10" s="495">
        <f>AK11+AK12</f>
        <v>1849900</v>
      </c>
      <c r="AL10" s="495">
        <f aca="true" t="shared" si="7" ref="AL10:AQ10">AL11+AL12</f>
        <v>0</v>
      </c>
      <c r="AM10" s="495">
        <f t="shared" si="7"/>
        <v>0</v>
      </c>
      <c r="AN10" s="495">
        <f>AN11+AN12</f>
        <v>1426150</v>
      </c>
      <c r="AO10" s="495">
        <f t="shared" si="7"/>
        <v>0</v>
      </c>
      <c r="AP10" s="495">
        <f t="shared" si="7"/>
        <v>0</v>
      </c>
      <c r="AQ10" s="495">
        <f t="shared" si="7"/>
        <v>0</v>
      </c>
    </row>
    <row r="11" spans="1:43" ht="23.25" customHeight="1">
      <c r="A11" s="310" t="s">
        <v>378</v>
      </c>
      <c r="B11" s="497" t="s">
        <v>396</v>
      </c>
      <c r="C11" s="467">
        <v>211</v>
      </c>
      <c r="D11" s="308">
        <f>E11+F11+G11+H11+I11+J11+K11</f>
        <v>13974600</v>
      </c>
      <c r="E11" s="308">
        <f>M11+U11+AC11+AK11</f>
        <v>8636000</v>
      </c>
      <c r="F11" s="24">
        <f>N11+V11+AD11+AL11</f>
        <v>0</v>
      </c>
      <c r="G11" s="24">
        <f>O11+W11+AE11+AM11</f>
        <v>0</v>
      </c>
      <c r="H11" s="24">
        <f>P11+X11+AF11+AN11</f>
        <v>5338600</v>
      </c>
      <c r="I11" s="24">
        <f>Q11+Y11+AG11+AO11</f>
        <v>0</v>
      </c>
      <c r="J11" s="24">
        <f aca="true" t="shared" si="8" ref="J11:J107">R11+Z11+AH11+AP11</f>
        <v>0</v>
      </c>
      <c r="K11" s="24">
        <f>S11+AA11+AI11+AQ11</f>
        <v>0</v>
      </c>
      <c r="L11" s="498">
        <f aca="true" t="shared" si="9" ref="L11:L20">SUM(M11:S11)</f>
        <v>5129400</v>
      </c>
      <c r="M11" s="503">
        <f>2467400+816100</f>
        <v>3283500</v>
      </c>
      <c r="N11" s="16">
        <v>0</v>
      </c>
      <c r="O11" s="16">
        <v>0</v>
      </c>
      <c r="P11" s="16">
        <f>1480884.36-255484.36+620500</f>
        <v>1845900</v>
      </c>
      <c r="Q11" s="16">
        <v>0</v>
      </c>
      <c r="R11" s="16">
        <v>0</v>
      </c>
      <c r="S11" s="16">
        <v>0</v>
      </c>
      <c r="T11" s="498">
        <f t="shared" si="2"/>
        <v>3425700</v>
      </c>
      <c r="U11" s="16">
        <f>2287400+12000</f>
        <v>2299400</v>
      </c>
      <c r="V11" s="16">
        <v>0</v>
      </c>
      <c r="W11" s="16">
        <v>0</v>
      </c>
      <c r="X11" s="16">
        <f>1521558.71-255258.71-140000</f>
        <v>1126300</v>
      </c>
      <c r="Y11" s="16">
        <v>0</v>
      </c>
      <c r="Z11" s="16">
        <v>0</v>
      </c>
      <c r="AA11" s="16">
        <v>0</v>
      </c>
      <c r="AB11" s="496">
        <f t="shared" si="4"/>
        <v>2869400</v>
      </c>
      <c r="AC11" s="503">
        <f>2081800-816100+337300</f>
        <v>1603000</v>
      </c>
      <c r="AD11" s="16">
        <v>0</v>
      </c>
      <c r="AE11" s="16">
        <v>0</v>
      </c>
      <c r="AF11" s="16">
        <f>1521651.47-255251.47</f>
        <v>1266400</v>
      </c>
      <c r="AG11" s="16">
        <v>0</v>
      </c>
      <c r="AH11" s="16">
        <v>0</v>
      </c>
      <c r="AI11" s="16">
        <v>0</v>
      </c>
      <c r="AJ11" s="496">
        <f t="shared" si="6"/>
        <v>2550100</v>
      </c>
      <c r="AK11" s="16">
        <f>1787400-337300</f>
        <v>1450100</v>
      </c>
      <c r="AL11" s="16">
        <v>0</v>
      </c>
      <c r="AM11" s="16">
        <v>0</v>
      </c>
      <c r="AN11" s="16">
        <f>1178000-78000</f>
        <v>1100000</v>
      </c>
      <c r="AO11" s="16">
        <v>0</v>
      </c>
      <c r="AP11" s="16">
        <v>0</v>
      </c>
      <c r="AQ11" s="16">
        <v>0</v>
      </c>
    </row>
    <row r="12" spans="1:43" ht="32.25" customHeight="1">
      <c r="A12" s="310" t="s">
        <v>380</v>
      </c>
      <c r="B12" s="497" t="s">
        <v>397</v>
      </c>
      <c r="C12" s="468">
        <v>213</v>
      </c>
      <c r="D12" s="308">
        <f>E12+F12+G12+H12+I12+J12+K12</f>
        <v>4225026.67</v>
      </c>
      <c r="E12" s="308">
        <f>M12+U12+AC12+AK12</f>
        <v>2619500</v>
      </c>
      <c r="F12" s="24">
        <f>N12+V12+AD12+AL12</f>
        <v>0</v>
      </c>
      <c r="G12" s="24">
        <f>O12+W12+AE12+AM12</f>
        <v>0</v>
      </c>
      <c r="H12" s="24">
        <f>P12+X12+AF12+AN12</f>
        <v>1605526.67</v>
      </c>
      <c r="I12" s="24">
        <f aca="true" t="shared" si="10" ref="I12:I106">Q12+Y12+AG12+AO12</f>
        <v>0</v>
      </c>
      <c r="J12" s="24">
        <f t="shared" si="8"/>
        <v>0</v>
      </c>
      <c r="K12" s="24">
        <f>S12+AA12+AI12+AQ12</f>
        <v>0</v>
      </c>
      <c r="L12" s="498">
        <f t="shared" si="9"/>
        <v>1674176.67</v>
      </c>
      <c r="M12" s="503">
        <f>871100+246600</f>
        <v>1117700</v>
      </c>
      <c r="N12" s="16">
        <v>0</v>
      </c>
      <c r="O12" s="16">
        <v>0</v>
      </c>
      <c r="P12" s="16">
        <f>369100+187376.67</f>
        <v>556476.67</v>
      </c>
      <c r="Q12" s="16">
        <v>0</v>
      </c>
      <c r="R12" s="16">
        <v>0</v>
      </c>
      <c r="S12" s="16">
        <v>0</v>
      </c>
      <c r="T12" s="498">
        <f t="shared" si="2"/>
        <v>982400</v>
      </c>
      <c r="U12" s="16">
        <v>642000</v>
      </c>
      <c r="V12" s="16">
        <v>0</v>
      </c>
      <c r="W12" s="16">
        <v>0</v>
      </c>
      <c r="X12" s="16">
        <f>382400-42000</f>
        <v>340400</v>
      </c>
      <c r="Y12" s="16">
        <v>0</v>
      </c>
      <c r="Z12" s="16">
        <v>0</v>
      </c>
      <c r="AA12" s="16">
        <v>0</v>
      </c>
      <c r="AB12" s="496">
        <f t="shared" si="4"/>
        <v>842500</v>
      </c>
      <c r="AC12" s="503">
        <f>605000-246600+101600</f>
        <v>460000</v>
      </c>
      <c r="AD12" s="16">
        <v>0</v>
      </c>
      <c r="AE12" s="16">
        <v>0</v>
      </c>
      <c r="AF12" s="16">
        <v>382500</v>
      </c>
      <c r="AG12" s="16">
        <v>0</v>
      </c>
      <c r="AH12" s="16">
        <v>0</v>
      </c>
      <c r="AI12" s="16">
        <v>0</v>
      </c>
      <c r="AJ12" s="496">
        <f t="shared" si="6"/>
        <v>725950</v>
      </c>
      <c r="AK12" s="16">
        <f>501400-101600</f>
        <v>399800</v>
      </c>
      <c r="AL12" s="16">
        <v>0</v>
      </c>
      <c r="AM12" s="16">
        <v>0</v>
      </c>
      <c r="AN12" s="16">
        <f>355750-29600</f>
        <v>326150</v>
      </c>
      <c r="AO12" s="16">
        <v>0</v>
      </c>
      <c r="AP12" s="16">
        <v>0</v>
      </c>
      <c r="AQ12" s="16">
        <v>0</v>
      </c>
    </row>
    <row r="13" spans="1:43" ht="55.5" customHeight="1">
      <c r="A13" s="316" t="s">
        <v>398</v>
      </c>
      <c r="B13" s="499" t="s">
        <v>736</v>
      </c>
      <c r="C13" s="466"/>
      <c r="D13" s="495">
        <f>E13+F13+G13+H13+I13+J13+K13</f>
        <v>122450</v>
      </c>
      <c r="E13" s="500">
        <f>SUM(E14:E17)</f>
        <v>38000</v>
      </c>
      <c r="F13" s="500">
        <f aca="true" t="shared" si="11" ref="F13:K13">SUM(F14:F17)</f>
        <v>0</v>
      </c>
      <c r="G13" s="500">
        <f>SUM(G14:G17)</f>
        <v>0</v>
      </c>
      <c r="H13" s="500">
        <f t="shared" si="11"/>
        <v>84450</v>
      </c>
      <c r="I13" s="500">
        <f t="shared" si="11"/>
        <v>0</v>
      </c>
      <c r="J13" s="500">
        <f t="shared" si="11"/>
        <v>0</v>
      </c>
      <c r="K13" s="500">
        <f t="shared" si="11"/>
        <v>0</v>
      </c>
      <c r="L13" s="546">
        <f>SUM(M13:S13)</f>
        <v>33463</v>
      </c>
      <c r="M13" s="495">
        <f>SUM(M14:M17)</f>
        <v>12600</v>
      </c>
      <c r="N13" s="495">
        <f aca="true" t="shared" si="12" ref="N13:S13">SUM(N14:N17)</f>
        <v>0</v>
      </c>
      <c r="O13" s="495">
        <f t="shared" si="12"/>
        <v>0</v>
      </c>
      <c r="P13" s="495">
        <f t="shared" si="12"/>
        <v>20863</v>
      </c>
      <c r="Q13" s="495">
        <f t="shared" si="12"/>
        <v>0</v>
      </c>
      <c r="R13" s="495">
        <f t="shared" si="12"/>
        <v>0</v>
      </c>
      <c r="S13" s="495">
        <f t="shared" si="12"/>
        <v>0</v>
      </c>
      <c r="T13" s="496">
        <f t="shared" si="2"/>
        <v>63062</v>
      </c>
      <c r="U13" s="495">
        <f>SUM(U14:U17)</f>
        <v>600</v>
      </c>
      <c r="V13" s="495">
        <f aca="true" t="shared" si="13" ref="V13:AA13">SUM(V14:V17)</f>
        <v>0</v>
      </c>
      <c r="W13" s="495">
        <f t="shared" si="13"/>
        <v>0</v>
      </c>
      <c r="X13" s="495">
        <f t="shared" si="13"/>
        <v>62462</v>
      </c>
      <c r="Y13" s="495">
        <f t="shared" si="13"/>
        <v>0</v>
      </c>
      <c r="Z13" s="495">
        <f t="shared" si="13"/>
        <v>0</v>
      </c>
      <c r="AA13" s="495">
        <f t="shared" si="13"/>
        <v>0</v>
      </c>
      <c r="AB13" s="496">
        <f t="shared" si="4"/>
        <v>13163</v>
      </c>
      <c r="AC13" s="495">
        <f>SUM(AC14:AC17)</f>
        <v>12600</v>
      </c>
      <c r="AD13" s="495">
        <f aca="true" t="shared" si="14" ref="AD13:AI13">SUM(AD14:AD17)</f>
        <v>0</v>
      </c>
      <c r="AE13" s="495">
        <f t="shared" si="14"/>
        <v>0</v>
      </c>
      <c r="AF13" s="495">
        <f t="shared" si="14"/>
        <v>563</v>
      </c>
      <c r="AG13" s="495">
        <f t="shared" si="14"/>
        <v>0</v>
      </c>
      <c r="AH13" s="495">
        <f t="shared" si="14"/>
        <v>0</v>
      </c>
      <c r="AI13" s="495">
        <f t="shared" si="14"/>
        <v>0</v>
      </c>
      <c r="AJ13" s="496">
        <f t="shared" si="6"/>
        <v>12762</v>
      </c>
      <c r="AK13" s="495">
        <f>SUM(AK14:AK17)</f>
        <v>12200</v>
      </c>
      <c r="AL13" s="495">
        <f aca="true" t="shared" si="15" ref="AL13:AQ13">SUM(AL14:AL17)</f>
        <v>0</v>
      </c>
      <c r="AM13" s="495">
        <f t="shared" si="15"/>
        <v>0</v>
      </c>
      <c r="AN13" s="495">
        <f t="shared" si="15"/>
        <v>562</v>
      </c>
      <c r="AO13" s="495">
        <f t="shared" si="15"/>
        <v>0</v>
      </c>
      <c r="AP13" s="495">
        <f t="shared" si="15"/>
        <v>0</v>
      </c>
      <c r="AQ13" s="495">
        <f t="shared" si="15"/>
        <v>0</v>
      </c>
    </row>
    <row r="14" spans="1:43" ht="33.75" customHeight="1">
      <c r="A14" s="312" t="s">
        <v>563</v>
      </c>
      <c r="B14" s="501" t="s">
        <v>666</v>
      </c>
      <c r="C14" s="469">
        <v>266</v>
      </c>
      <c r="D14" s="308">
        <f>SUM(E14:K14)</f>
        <v>2250</v>
      </c>
      <c r="E14" s="24">
        <f aca="true" t="shared" si="16" ref="E14:K14">M14+U14+AC14+AK14</f>
        <v>0</v>
      </c>
      <c r="F14" s="24">
        <f t="shared" si="16"/>
        <v>0</v>
      </c>
      <c r="G14" s="24">
        <f t="shared" si="16"/>
        <v>0</v>
      </c>
      <c r="H14" s="24">
        <f t="shared" si="16"/>
        <v>2250</v>
      </c>
      <c r="I14" s="24">
        <f t="shared" si="16"/>
        <v>0</v>
      </c>
      <c r="J14" s="24">
        <f t="shared" si="16"/>
        <v>0</v>
      </c>
      <c r="K14" s="24">
        <f t="shared" si="16"/>
        <v>0</v>
      </c>
      <c r="L14" s="502">
        <f t="shared" si="9"/>
        <v>563</v>
      </c>
      <c r="M14" s="16">
        <v>0</v>
      </c>
      <c r="N14" s="16">
        <v>0</v>
      </c>
      <c r="O14" s="16">
        <v>0</v>
      </c>
      <c r="P14" s="16">
        <v>563</v>
      </c>
      <c r="Q14" s="16">
        <v>0</v>
      </c>
      <c r="R14" s="16">
        <v>0</v>
      </c>
      <c r="S14" s="16">
        <v>0</v>
      </c>
      <c r="T14" s="502">
        <f>SUM(U14:AA14)</f>
        <v>562</v>
      </c>
      <c r="U14" s="16">
        <v>0</v>
      </c>
      <c r="V14" s="16">
        <v>0</v>
      </c>
      <c r="W14" s="16">
        <v>0</v>
      </c>
      <c r="X14" s="16">
        <v>562</v>
      </c>
      <c r="Y14" s="16">
        <v>0</v>
      </c>
      <c r="Z14" s="16">
        <v>0</v>
      </c>
      <c r="AA14" s="16">
        <v>0</v>
      </c>
      <c r="AB14" s="502">
        <f>SUM(AC14:AI14)</f>
        <v>563</v>
      </c>
      <c r="AC14" s="16">
        <v>0</v>
      </c>
      <c r="AD14" s="16">
        <v>0</v>
      </c>
      <c r="AE14" s="16">
        <v>0</v>
      </c>
      <c r="AF14" s="16">
        <v>563</v>
      </c>
      <c r="AG14" s="16">
        <v>0</v>
      </c>
      <c r="AH14" s="16">
        <v>0</v>
      </c>
      <c r="AI14" s="16">
        <v>0</v>
      </c>
      <c r="AJ14" s="502">
        <f t="shared" si="6"/>
        <v>562</v>
      </c>
      <c r="AK14" s="16">
        <v>0</v>
      </c>
      <c r="AL14" s="16">
        <v>0</v>
      </c>
      <c r="AM14" s="16">
        <v>0</v>
      </c>
      <c r="AN14" s="16">
        <v>562</v>
      </c>
      <c r="AO14" s="16">
        <v>0</v>
      </c>
      <c r="AP14" s="16">
        <v>0</v>
      </c>
      <c r="AQ14" s="16">
        <v>0</v>
      </c>
    </row>
    <row r="15" spans="1:43" ht="23.25" customHeight="1">
      <c r="A15" s="312" t="s">
        <v>400</v>
      </c>
      <c r="B15" s="501" t="s">
        <v>667</v>
      </c>
      <c r="C15" s="469">
        <v>266</v>
      </c>
      <c r="D15" s="308">
        <f>SUM(E15:K15)</f>
        <v>44000</v>
      </c>
      <c r="E15" s="24">
        <f>M15+U15+AC15+AK15</f>
        <v>38000</v>
      </c>
      <c r="F15" s="24">
        <f>N15+V15+AD15+AL15</f>
        <v>0</v>
      </c>
      <c r="G15" s="24">
        <f aca="true" t="shared" si="17" ref="G15:G20">O15+W15+AE15+AM15</f>
        <v>0</v>
      </c>
      <c r="H15" s="24">
        <f aca="true" t="shared" si="18" ref="H15:H20">P15+X15+AF15+AN15</f>
        <v>6000</v>
      </c>
      <c r="I15" s="24">
        <f t="shared" si="10"/>
        <v>0</v>
      </c>
      <c r="J15" s="24">
        <f t="shared" si="8"/>
        <v>0</v>
      </c>
      <c r="K15" s="24">
        <f aca="true" t="shared" si="19" ref="K15:K20">S15+AA15+AI15+AQ15</f>
        <v>0</v>
      </c>
      <c r="L15" s="502">
        <f t="shared" si="9"/>
        <v>15600</v>
      </c>
      <c r="M15" s="16">
        <v>12600</v>
      </c>
      <c r="N15" s="16">
        <v>0</v>
      </c>
      <c r="O15" s="16">
        <v>0</v>
      </c>
      <c r="P15" s="16">
        <v>3000</v>
      </c>
      <c r="Q15" s="16">
        <v>0</v>
      </c>
      <c r="R15" s="16">
        <v>0</v>
      </c>
      <c r="S15" s="16">
        <v>0</v>
      </c>
      <c r="T15" s="502">
        <f t="shared" si="2"/>
        <v>3600</v>
      </c>
      <c r="U15" s="16">
        <f>12600-12000</f>
        <v>600</v>
      </c>
      <c r="V15" s="16">
        <v>0</v>
      </c>
      <c r="W15" s="16">
        <v>0</v>
      </c>
      <c r="X15" s="16">
        <v>3000</v>
      </c>
      <c r="Y15" s="16">
        <v>0</v>
      </c>
      <c r="Z15" s="16">
        <v>0</v>
      </c>
      <c r="AA15" s="16">
        <v>0</v>
      </c>
      <c r="AB15" s="502">
        <f t="shared" si="4"/>
        <v>12600</v>
      </c>
      <c r="AC15" s="16">
        <v>12600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502">
        <f t="shared" si="6"/>
        <v>12200</v>
      </c>
      <c r="AK15" s="16">
        <v>12200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</row>
    <row r="16" spans="1:43" ht="23.25" customHeight="1">
      <c r="A16" s="312" t="s">
        <v>566</v>
      </c>
      <c r="B16" s="501" t="s">
        <v>668</v>
      </c>
      <c r="C16" s="469">
        <v>212</v>
      </c>
      <c r="D16" s="308">
        <f>SUM(E16:K16)</f>
        <v>21000</v>
      </c>
      <c r="E16" s="16">
        <v>0</v>
      </c>
      <c r="F16" s="16">
        <v>0</v>
      </c>
      <c r="G16" s="16">
        <v>0</v>
      </c>
      <c r="H16" s="24">
        <f>P16+X16+AF16+AN16</f>
        <v>21000</v>
      </c>
      <c r="I16" s="16">
        <v>0</v>
      </c>
      <c r="J16" s="16">
        <v>0</v>
      </c>
      <c r="K16" s="24">
        <f t="shared" si="19"/>
        <v>0</v>
      </c>
      <c r="L16" s="502">
        <f>SUM(M16:S16)</f>
        <v>6800</v>
      </c>
      <c r="M16" s="16">
        <v>0</v>
      </c>
      <c r="N16" s="16">
        <v>0</v>
      </c>
      <c r="O16" s="16">
        <v>0</v>
      </c>
      <c r="P16" s="16">
        <f>11000-4200</f>
        <v>6800</v>
      </c>
      <c r="Q16" s="16">
        <v>0</v>
      </c>
      <c r="R16" s="16">
        <v>0</v>
      </c>
      <c r="S16" s="503">
        <v>0</v>
      </c>
      <c r="T16" s="502">
        <f>SUM(U16:AA16)</f>
        <v>14200</v>
      </c>
      <c r="U16" s="16">
        <v>0</v>
      </c>
      <c r="V16" s="16">
        <v>0</v>
      </c>
      <c r="W16" s="16">
        <v>0</v>
      </c>
      <c r="X16" s="16">
        <v>14200</v>
      </c>
      <c r="Y16" s="16">
        <v>0</v>
      </c>
      <c r="Z16" s="16">
        <v>0</v>
      </c>
      <c r="AA16" s="503">
        <f>10000+4200-14200</f>
        <v>0</v>
      </c>
      <c r="AB16" s="502">
        <f>SUM(AC16:AI16)</f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502">
        <f>SUM(AK16:AQ16)</f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</row>
    <row r="17" spans="1:43" ht="27.75" customHeight="1">
      <c r="A17" s="312" t="s">
        <v>568</v>
      </c>
      <c r="B17" s="501" t="s">
        <v>1048</v>
      </c>
      <c r="C17" s="469">
        <v>226</v>
      </c>
      <c r="D17" s="308">
        <f>SUM(E17:K17)</f>
        <v>55200</v>
      </c>
      <c r="E17" s="16">
        <v>0</v>
      </c>
      <c r="F17" s="16">
        <v>0</v>
      </c>
      <c r="G17" s="16">
        <v>0</v>
      </c>
      <c r="H17" s="24">
        <f t="shared" si="18"/>
        <v>55200</v>
      </c>
      <c r="I17" s="16">
        <v>0</v>
      </c>
      <c r="J17" s="16">
        <v>0</v>
      </c>
      <c r="K17" s="24">
        <f t="shared" si="19"/>
        <v>0</v>
      </c>
      <c r="L17" s="502">
        <f t="shared" si="9"/>
        <v>10500</v>
      </c>
      <c r="M17" s="16">
        <v>0</v>
      </c>
      <c r="N17" s="16">
        <v>0</v>
      </c>
      <c r="O17" s="16">
        <v>0</v>
      </c>
      <c r="P17" s="16">
        <f>19500-5000-4000</f>
        <v>10500</v>
      </c>
      <c r="Q17" s="16">
        <v>0</v>
      </c>
      <c r="R17" s="16">
        <v>0</v>
      </c>
      <c r="S17" s="503">
        <v>0</v>
      </c>
      <c r="T17" s="502">
        <f t="shared" si="2"/>
        <v>44700</v>
      </c>
      <c r="U17" s="16">
        <v>0</v>
      </c>
      <c r="V17" s="16">
        <v>0</v>
      </c>
      <c r="W17" s="16">
        <v>0</v>
      </c>
      <c r="X17" s="16">
        <f>16000+5000+23700</f>
        <v>44700</v>
      </c>
      <c r="Y17" s="16">
        <v>0</v>
      </c>
      <c r="Z17" s="16">
        <v>0</v>
      </c>
      <c r="AA17" s="503">
        <f>19500+4200-23700</f>
        <v>0</v>
      </c>
      <c r="AB17" s="502">
        <f t="shared" si="4"/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502">
        <f t="shared" si="6"/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</row>
    <row r="18" spans="1:43" ht="35.25" customHeight="1">
      <c r="A18" s="316" t="s">
        <v>401</v>
      </c>
      <c r="B18" s="494" t="s">
        <v>813</v>
      </c>
      <c r="C18" s="470">
        <v>291</v>
      </c>
      <c r="D18" s="495">
        <f aca="true" t="shared" si="20" ref="D18:D25">E18+F18+G18+H18+I18+J18+K18</f>
        <v>673676.46</v>
      </c>
      <c r="E18" s="500">
        <f>M18+U18+AC18+AK18</f>
        <v>409076.46</v>
      </c>
      <c r="F18" s="500">
        <f aca="true" t="shared" si="21" ref="F18:F42">N18+V18+AD18+AL18</f>
        <v>0</v>
      </c>
      <c r="G18" s="500">
        <f t="shared" si="17"/>
        <v>0</v>
      </c>
      <c r="H18" s="500">
        <f t="shared" si="18"/>
        <v>264600</v>
      </c>
      <c r="I18" s="500">
        <f>Q18+Y18+AG18+AO18</f>
        <v>0</v>
      </c>
      <c r="J18" s="500">
        <f t="shared" si="8"/>
        <v>0</v>
      </c>
      <c r="K18" s="500">
        <f t="shared" si="19"/>
        <v>0</v>
      </c>
      <c r="L18" s="546">
        <f>SUM(M18:S18)</f>
        <v>255911.46000000002</v>
      </c>
      <c r="M18" s="495">
        <f>SUM(M19:M24)</f>
        <v>204611.46000000002</v>
      </c>
      <c r="N18" s="495">
        <f aca="true" t="shared" si="22" ref="N18:S18">SUM(N19:N24)</f>
        <v>0</v>
      </c>
      <c r="O18" s="495">
        <f t="shared" si="22"/>
        <v>0</v>
      </c>
      <c r="P18" s="495">
        <f t="shared" si="22"/>
        <v>51300</v>
      </c>
      <c r="Q18" s="495">
        <f t="shared" si="22"/>
        <v>0</v>
      </c>
      <c r="R18" s="495">
        <f t="shared" si="22"/>
        <v>0</v>
      </c>
      <c r="S18" s="495">
        <f t="shared" si="22"/>
        <v>0</v>
      </c>
      <c r="T18" s="496">
        <f>SUM(U18:AA18)</f>
        <v>294465</v>
      </c>
      <c r="U18" s="495">
        <f>SUM(U19:U24)</f>
        <v>96865</v>
      </c>
      <c r="V18" s="495">
        <f aca="true" t="shared" si="23" ref="V18:AA18">SUM(V19:V24)</f>
        <v>0</v>
      </c>
      <c r="W18" s="495">
        <f t="shared" si="23"/>
        <v>0</v>
      </c>
      <c r="X18" s="495">
        <f t="shared" si="23"/>
        <v>197600</v>
      </c>
      <c r="Y18" s="495">
        <f t="shared" si="23"/>
        <v>0</v>
      </c>
      <c r="Z18" s="495">
        <f t="shared" si="23"/>
        <v>0</v>
      </c>
      <c r="AA18" s="495">
        <f t="shared" si="23"/>
        <v>0</v>
      </c>
      <c r="AB18" s="496">
        <f>SUM(AC18:AI18)</f>
        <v>77200</v>
      </c>
      <c r="AC18" s="495">
        <f>SUM(AC19:AC24)</f>
        <v>71700</v>
      </c>
      <c r="AD18" s="495">
        <f aca="true" t="shared" si="24" ref="AD18:AI18">SUM(AD19:AD24)</f>
        <v>0</v>
      </c>
      <c r="AE18" s="495">
        <f t="shared" si="24"/>
        <v>0</v>
      </c>
      <c r="AF18" s="495">
        <f t="shared" si="24"/>
        <v>5500</v>
      </c>
      <c r="AG18" s="495">
        <f t="shared" si="24"/>
        <v>0</v>
      </c>
      <c r="AH18" s="495">
        <f t="shared" si="24"/>
        <v>0</v>
      </c>
      <c r="AI18" s="495">
        <f t="shared" si="24"/>
        <v>0</v>
      </c>
      <c r="AJ18" s="496">
        <f t="shared" si="6"/>
        <v>46100</v>
      </c>
      <c r="AK18" s="495">
        <f>SUM(AK19:AK24)</f>
        <v>35900</v>
      </c>
      <c r="AL18" s="495">
        <f aca="true" t="shared" si="25" ref="AL18:AQ18">SUM(AL19:AL24)</f>
        <v>0</v>
      </c>
      <c r="AM18" s="495">
        <f t="shared" si="25"/>
        <v>0</v>
      </c>
      <c r="AN18" s="495">
        <f t="shared" si="25"/>
        <v>10200</v>
      </c>
      <c r="AO18" s="495">
        <f t="shared" si="25"/>
        <v>0</v>
      </c>
      <c r="AP18" s="495">
        <f t="shared" si="25"/>
        <v>0</v>
      </c>
      <c r="AQ18" s="495">
        <f t="shared" si="25"/>
        <v>0</v>
      </c>
    </row>
    <row r="19" spans="1:43" ht="25.5" customHeight="1">
      <c r="A19" s="312" t="s">
        <v>403</v>
      </c>
      <c r="B19" s="461" t="s">
        <v>729</v>
      </c>
      <c r="C19" s="471">
        <v>291</v>
      </c>
      <c r="D19" s="308">
        <f t="shared" si="20"/>
        <v>40465</v>
      </c>
      <c r="E19" s="24">
        <f aca="true" t="shared" si="26" ref="E19:E36">M19+U19+AC19+AK19</f>
        <v>40465</v>
      </c>
      <c r="F19" s="24">
        <f t="shared" si="21"/>
        <v>0</v>
      </c>
      <c r="G19" s="24">
        <f t="shared" si="17"/>
        <v>0</v>
      </c>
      <c r="H19" s="24">
        <f t="shared" si="18"/>
        <v>0</v>
      </c>
      <c r="I19" s="24">
        <f>Q19+Y19+AG19+AO19</f>
        <v>0</v>
      </c>
      <c r="J19" s="24">
        <f t="shared" si="8"/>
        <v>0</v>
      </c>
      <c r="K19" s="24">
        <f t="shared" si="19"/>
        <v>0</v>
      </c>
      <c r="L19" s="502">
        <f t="shared" si="9"/>
        <v>15300</v>
      </c>
      <c r="M19" s="16">
        <f>713700+117611.46-117611.46-48400-650000</f>
        <v>15300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02">
        <f t="shared" si="2"/>
        <v>25165</v>
      </c>
      <c r="U19" s="16">
        <f>713700-151900-170565-366070</f>
        <v>25165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502">
        <f t="shared" si="4"/>
        <v>0</v>
      </c>
      <c r="AC19" s="16">
        <f>713700-713700</f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502">
        <f t="shared" si="6"/>
        <v>0</v>
      </c>
      <c r="AK19" s="16">
        <f>713600-713600</f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</row>
    <row r="20" spans="1:43" ht="23.25" customHeight="1">
      <c r="A20" s="312" t="s">
        <v>404</v>
      </c>
      <c r="B20" s="461" t="s">
        <v>730</v>
      </c>
      <c r="C20" s="471">
        <v>291</v>
      </c>
      <c r="D20" s="308">
        <f t="shared" si="20"/>
        <v>429211.46</v>
      </c>
      <c r="E20" s="24">
        <f>M20+U20+AC20+AK20</f>
        <v>368611.46</v>
      </c>
      <c r="F20" s="24">
        <f t="shared" si="21"/>
        <v>0</v>
      </c>
      <c r="G20" s="24">
        <f t="shared" si="17"/>
        <v>0</v>
      </c>
      <c r="H20" s="24">
        <f t="shared" si="18"/>
        <v>60600</v>
      </c>
      <c r="I20" s="24">
        <f>Q20+Y20+AG20+AO20</f>
        <v>0</v>
      </c>
      <c r="J20" s="24">
        <f t="shared" si="8"/>
        <v>0</v>
      </c>
      <c r="K20" s="24">
        <f t="shared" si="19"/>
        <v>0</v>
      </c>
      <c r="L20" s="502">
        <f t="shared" si="9"/>
        <v>234111.46000000002</v>
      </c>
      <c r="M20" s="16">
        <f>35900+35760+40+117611.46</f>
        <v>189311.46000000002</v>
      </c>
      <c r="N20" s="16">
        <v>0</v>
      </c>
      <c r="O20" s="16">
        <v>0</v>
      </c>
      <c r="P20" s="16">
        <f>96266-51491.25+25.25</f>
        <v>44800</v>
      </c>
      <c r="Q20" s="16">
        <v>0</v>
      </c>
      <c r="R20" s="16">
        <v>0</v>
      </c>
      <c r="S20" s="16">
        <v>0</v>
      </c>
      <c r="T20" s="502">
        <f t="shared" si="2"/>
        <v>77300</v>
      </c>
      <c r="U20" s="16">
        <f>35900+35760+40</f>
        <v>71700</v>
      </c>
      <c r="V20" s="16">
        <v>0</v>
      </c>
      <c r="W20" s="16">
        <v>0</v>
      </c>
      <c r="X20" s="16">
        <f>77338-51491.25+5770.5-17.25-10000-16000</f>
        <v>5600</v>
      </c>
      <c r="Y20" s="16">
        <v>0</v>
      </c>
      <c r="Z20" s="16">
        <v>0</v>
      </c>
      <c r="AA20" s="16">
        <v>0</v>
      </c>
      <c r="AB20" s="502">
        <f t="shared" si="4"/>
        <v>71700</v>
      </c>
      <c r="AC20" s="16">
        <f>36000+35760+40-100</f>
        <v>71700</v>
      </c>
      <c r="AD20" s="16">
        <v>0</v>
      </c>
      <c r="AE20" s="16">
        <v>0</v>
      </c>
      <c r="AF20" s="16">
        <f>71170-51491.25+35000-78.75-54600</f>
        <v>0</v>
      </c>
      <c r="AG20" s="16">
        <v>0</v>
      </c>
      <c r="AH20" s="16">
        <v>0</v>
      </c>
      <c r="AI20" s="16">
        <v>0</v>
      </c>
      <c r="AJ20" s="502">
        <f t="shared" si="6"/>
        <v>46100</v>
      </c>
      <c r="AK20" s="16">
        <f>35900+35760-35748-12</f>
        <v>35900</v>
      </c>
      <c r="AL20" s="16">
        <v>0</v>
      </c>
      <c r="AM20" s="16">
        <v>0</v>
      </c>
      <c r="AN20" s="16">
        <f>67482-51491.25-5770.5-20.25</f>
        <v>10200</v>
      </c>
      <c r="AO20" s="16">
        <v>0</v>
      </c>
      <c r="AP20" s="16">
        <v>0</v>
      </c>
      <c r="AQ20" s="16">
        <v>0</v>
      </c>
    </row>
    <row r="21" spans="1:43" ht="24" customHeight="1">
      <c r="A21" s="312" t="s">
        <v>405</v>
      </c>
      <c r="B21" s="461" t="s">
        <v>815</v>
      </c>
      <c r="C21" s="471">
        <v>291</v>
      </c>
      <c r="D21" s="308">
        <f t="shared" si="20"/>
        <v>10500</v>
      </c>
      <c r="E21" s="24">
        <v>0</v>
      </c>
      <c r="F21" s="24">
        <v>0</v>
      </c>
      <c r="G21" s="24">
        <v>0</v>
      </c>
      <c r="H21" s="24">
        <f>P21+X21+AF21+AN21</f>
        <v>10500</v>
      </c>
      <c r="I21" s="24">
        <v>0</v>
      </c>
      <c r="J21" s="24">
        <v>0</v>
      </c>
      <c r="K21" s="24">
        <v>0</v>
      </c>
      <c r="L21" s="502">
        <f>M21+N21+O21+P21+Q21+R21+S21</f>
        <v>6500</v>
      </c>
      <c r="M21" s="16">
        <v>0</v>
      </c>
      <c r="N21" s="16">
        <v>0</v>
      </c>
      <c r="O21" s="16">
        <v>0</v>
      </c>
      <c r="P21" s="16">
        <v>6500</v>
      </c>
      <c r="Q21" s="16">
        <v>0</v>
      </c>
      <c r="R21" s="16">
        <v>0</v>
      </c>
      <c r="S21" s="16">
        <v>0</v>
      </c>
      <c r="T21" s="502">
        <f>X21</f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502">
        <v>0</v>
      </c>
      <c r="AC21" s="16">
        <v>0</v>
      </c>
      <c r="AD21" s="16">
        <v>0</v>
      </c>
      <c r="AE21" s="16">
        <v>0</v>
      </c>
      <c r="AF21" s="16">
        <f>5500-1500</f>
        <v>4000</v>
      </c>
      <c r="AG21" s="16">
        <v>0</v>
      </c>
      <c r="AH21" s="16">
        <v>0</v>
      </c>
      <c r="AI21" s="16">
        <v>0</v>
      </c>
      <c r="AJ21" s="502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ht="42.75" customHeight="1">
      <c r="A22" s="312" t="s">
        <v>1006</v>
      </c>
      <c r="B22" s="461" t="s">
        <v>1005</v>
      </c>
      <c r="C22" s="471">
        <v>295</v>
      </c>
      <c r="D22" s="308">
        <f>E22+F22+G22+H22+I22+J22+K22</f>
        <v>182000</v>
      </c>
      <c r="E22" s="24">
        <v>0</v>
      </c>
      <c r="F22" s="24">
        <v>0</v>
      </c>
      <c r="G22" s="24">
        <v>0</v>
      </c>
      <c r="H22" s="24">
        <f>P22+X22+AF22+AN22</f>
        <v>182000</v>
      </c>
      <c r="I22" s="24">
        <v>0</v>
      </c>
      <c r="J22" s="24">
        <v>0</v>
      </c>
      <c r="K22" s="24">
        <v>0</v>
      </c>
      <c r="L22" s="502">
        <f>M22+N22+O22+P22+Q22+R22+S22</f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502">
        <f>X22</f>
        <v>182000</v>
      </c>
      <c r="U22" s="16">
        <v>0</v>
      </c>
      <c r="V22" s="16">
        <v>0</v>
      </c>
      <c r="W22" s="16">
        <v>0</v>
      </c>
      <c r="X22" s="16">
        <v>182000</v>
      </c>
      <c r="Y22" s="16">
        <v>0</v>
      </c>
      <c r="Z22" s="16">
        <v>0</v>
      </c>
      <c r="AA22" s="16">
        <v>0</v>
      </c>
      <c r="AB22" s="502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502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</row>
    <row r="23" spans="1:43" ht="42.75" customHeight="1">
      <c r="A23" s="312" t="s">
        <v>1011</v>
      </c>
      <c r="B23" s="461" t="s">
        <v>1012</v>
      </c>
      <c r="C23" s="471">
        <v>295</v>
      </c>
      <c r="D23" s="308">
        <f>E23+F23+G23+H23+I23+J23+K23</f>
        <v>10000</v>
      </c>
      <c r="E23" s="24">
        <v>0</v>
      </c>
      <c r="F23" s="24">
        <v>0</v>
      </c>
      <c r="G23" s="24">
        <v>0</v>
      </c>
      <c r="H23" s="24">
        <f>P23+X23+AF23+AN23</f>
        <v>10000</v>
      </c>
      <c r="I23" s="24">
        <v>0</v>
      </c>
      <c r="J23" s="24">
        <v>0</v>
      </c>
      <c r="K23" s="24">
        <v>0</v>
      </c>
      <c r="L23" s="502">
        <f>M23+N23+O23+P23+Q23+R23+S23</f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502">
        <f>X23</f>
        <v>10000</v>
      </c>
      <c r="U23" s="16">
        <v>0</v>
      </c>
      <c r="V23" s="16">
        <v>0</v>
      </c>
      <c r="W23" s="16">
        <v>0</v>
      </c>
      <c r="X23" s="16">
        <v>10000</v>
      </c>
      <c r="Y23" s="16">
        <v>0</v>
      </c>
      <c r="Z23" s="16">
        <v>0</v>
      </c>
      <c r="AA23" s="16">
        <v>0</v>
      </c>
      <c r="AB23" s="502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502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</row>
    <row r="24" spans="1:43" ht="57" customHeight="1">
      <c r="A24" s="312" t="s">
        <v>1107</v>
      </c>
      <c r="B24" s="461" t="s">
        <v>1108</v>
      </c>
      <c r="C24" s="471">
        <v>293</v>
      </c>
      <c r="D24" s="308">
        <f t="shared" si="20"/>
        <v>1500</v>
      </c>
      <c r="E24" s="24">
        <v>0</v>
      </c>
      <c r="F24" s="24">
        <v>0</v>
      </c>
      <c r="G24" s="24">
        <v>0</v>
      </c>
      <c r="H24" s="24">
        <f>P24+X24+AF24+AN24</f>
        <v>1500</v>
      </c>
      <c r="I24" s="24">
        <v>0</v>
      </c>
      <c r="J24" s="24">
        <v>0</v>
      </c>
      <c r="K24" s="24">
        <v>0</v>
      </c>
      <c r="L24" s="502">
        <f>M24+N24+O24+P24+Q24+R24+S24</f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502">
        <f>X24</f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502">
        <v>0</v>
      </c>
      <c r="AC24" s="16">
        <v>0</v>
      </c>
      <c r="AD24" s="16">
        <v>0</v>
      </c>
      <c r="AE24" s="16">
        <v>0</v>
      </c>
      <c r="AF24" s="16">
        <v>1500</v>
      </c>
      <c r="AG24" s="16">
        <v>0</v>
      </c>
      <c r="AH24" s="16">
        <v>0</v>
      </c>
      <c r="AI24" s="16">
        <v>0</v>
      </c>
      <c r="AJ24" s="502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</row>
    <row r="25" spans="1:43" ht="31.5" customHeight="1">
      <c r="A25" s="504" t="s">
        <v>406</v>
      </c>
      <c r="B25" s="494" t="s">
        <v>737</v>
      </c>
      <c r="C25" s="466">
        <v>240</v>
      </c>
      <c r="D25" s="495">
        <f t="shared" si="20"/>
        <v>0</v>
      </c>
      <c r="E25" s="500">
        <f t="shared" si="26"/>
        <v>0</v>
      </c>
      <c r="F25" s="500">
        <f t="shared" si="21"/>
        <v>0</v>
      </c>
      <c r="G25" s="500">
        <f>O25+W25+AE25+AM25</f>
        <v>0</v>
      </c>
      <c r="H25" s="500">
        <v>0</v>
      </c>
      <c r="I25" s="500">
        <f>Q25+Y25+AG25+AO25</f>
        <v>0</v>
      </c>
      <c r="J25" s="500">
        <f>R25+Z25+AH25+AP25</f>
        <v>0</v>
      </c>
      <c r="K25" s="500">
        <f>S25+AA25+AI25+AQ25</f>
        <v>0</v>
      </c>
      <c r="L25" s="546">
        <f>SUM(M25:S25)</f>
        <v>0</v>
      </c>
      <c r="M25" s="495">
        <f>SUM(M26:M29)</f>
        <v>0</v>
      </c>
      <c r="N25" s="495">
        <f aca="true" t="shared" si="27" ref="N25:S26">SUM(N26:N29)</f>
        <v>0</v>
      </c>
      <c r="O25" s="495">
        <f t="shared" si="27"/>
        <v>0</v>
      </c>
      <c r="P25" s="495">
        <v>0</v>
      </c>
      <c r="Q25" s="495">
        <f t="shared" si="27"/>
        <v>0</v>
      </c>
      <c r="R25" s="495">
        <f t="shared" si="27"/>
        <v>0</v>
      </c>
      <c r="S25" s="495">
        <f t="shared" si="27"/>
        <v>0</v>
      </c>
      <c r="T25" s="496">
        <f>SUM(U25:AA25)</f>
        <v>0</v>
      </c>
      <c r="U25" s="495">
        <f>SUM(U26:U29)</f>
        <v>0</v>
      </c>
      <c r="V25" s="495">
        <f aca="true" t="shared" si="28" ref="V25:AA26">SUM(V26:V29)</f>
        <v>0</v>
      </c>
      <c r="W25" s="495">
        <f t="shared" si="28"/>
        <v>0</v>
      </c>
      <c r="X25" s="495">
        <v>0</v>
      </c>
      <c r="Y25" s="495">
        <f t="shared" si="28"/>
        <v>0</v>
      </c>
      <c r="Z25" s="495">
        <f t="shared" si="28"/>
        <v>0</v>
      </c>
      <c r="AA25" s="495">
        <f t="shared" si="28"/>
        <v>0</v>
      </c>
      <c r="AB25" s="496">
        <f>SUM(AC25:AI25)</f>
        <v>0</v>
      </c>
      <c r="AC25" s="495">
        <f>SUM(AC26:AC29)</f>
        <v>0</v>
      </c>
      <c r="AD25" s="495">
        <f aca="true" t="shared" si="29" ref="AD25:AI26">SUM(AD26:AD29)</f>
        <v>0</v>
      </c>
      <c r="AE25" s="495">
        <f t="shared" si="29"/>
        <v>0</v>
      </c>
      <c r="AF25" s="495">
        <v>0</v>
      </c>
      <c r="AG25" s="495">
        <f t="shared" si="29"/>
        <v>0</v>
      </c>
      <c r="AH25" s="495">
        <f t="shared" si="29"/>
        <v>0</v>
      </c>
      <c r="AI25" s="495">
        <f t="shared" si="29"/>
        <v>0</v>
      </c>
      <c r="AJ25" s="496">
        <f>SUM(AK25:AQ25)</f>
        <v>0</v>
      </c>
      <c r="AK25" s="495">
        <f>SUM(AK26:AK29)</f>
        <v>0</v>
      </c>
      <c r="AL25" s="495">
        <f aca="true" t="shared" si="30" ref="AL25:AQ26">SUM(AL26:AL29)</f>
        <v>0</v>
      </c>
      <c r="AM25" s="495">
        <f t="shared" si="30"/>
        <v>0</v>
      </c>
      <c r="AN25" s="495">
        <v>0</v>
      </c>
      <c r="AO25" s="495">
        <f t="shared" si="30"/>
        <v>0</v>
      </c>
      <c r="AP25" s="495">
        <f t="shared" si="30"/>
        <v>0</v>
      </c>
      <c r="AQ25" s="495">
        <f t="shared" si="30"/>
        <v>0</v>
      </c>
    </row>
    <row r="26" spans="1:43" ht="40.5" customHeight="1">
      <c r="A26" s="504" t="s">
        <v>408</v>
      </c>
      <c r="B26" s="494" t="s">
        <v>738</v>
      </c>
      <c r="C26" s="466"/>
      <c r="D26" s="495">
        <f>E26+F26+H26+I26+K26</f>
        <v>47200</v>
      </c>
      <c r="E26" s="500">
        <f t="shared" si="26"/>
        <v>0</v>
      </c>
      <c r="F26" s="500">
        <v>0</v>
      </c>
      <c r="G26" s="500">
        <f>O26+W26+AE26+AM26</f>
        <v>0</v>
      </c>
      <c r="H26" s="500">
        <f>P26+X26+AF26+AN26</f>
        <v>47200</v>
      </c>
      <c r="I26" s="500">
        <f t="shared" si="10"/>
        <v>0</v>
      </c>
      <c r="J26" s="500">
        <f t="shared" si="8"/>
        <v>0</v>
      </c>
      <c r="K26" s="500">
        <f>S26+AA26+AI26+AQ26</f>
        <v>0</v>
      </c>
      <c r="L26" s="546">
        <f>SUM(M26:S26)</f>
        <v>18200</v>
      </c>
      <c r="M26" s="495">
        <f>SUM(M27:M30)</f>
        <v>0</v>
      </c>
      <c r="N26" s="495">
        <f>SUM(N27:N30)</f>
        <v>0</v>
      </c>
      <c r="O26" s="495">
        <f t="shared" si="27"/>
        <v>0</v>
      </c>
      <c r="P26" s="495">
        <f>SUM(P27:P30)</f>
        <v>18200</v>
      </c>
      <c r="Q26" s="495">
        <f t="shared" si="27"/>
        <v>0</v>
      </c>
      <c r="R26" s="495">
        <f t="shared" si="27"/>
        <v>0</v>
      </c>
      <c r="S26" s="495">
        <f t="shared" si="27"/>
        <v>0</v>
      </c>
      <c r="T26" s="496">
        <f>SUM(U26:AA26)</f>
        <v>20400</v>
      </c>
      <c r="U26" s="495">
        <f>SUM(U27:U30)</f>
        <v>0</v>
      </c>
      <c r="V26" s="495">
        <f>SUM(V27:V30)</f>
        <v>0</v>
      </c>
      <c r="W26" s="495">
        <f t="shared" si="28"/>
        <v>0</v>
      </c>
      <c r="X26" s="495">
        <f>SUM(X27:X30)</f>
        <v>20400</v>
      </c>
      <c r="Y26" s="495">
        <f t="shared" si="28"/>
        <v>0</v>
      </c>
      <c r="Z26" s="495">
        <f t="shared" si="28"/>
        <v>0</v>
      </c>
      <c r="AA26" s="495">
        <f t="shared" si="28"/>
        <v>0</v>
      </c>
      <c r="AB26" s="496">
        <f aca="true" t="shared" si="31" ref="AB26:AB43">SUM(AC26:AI26)</f>
        <v>1000</v>
      </c>
      <c r="AC26" s="495">
        <f>SUM(AC27:AC30)</f>
        <v>0</v>
      </c>
      <c r="AD26" s="495">
        <f t="shared" si="29"/>
        <v>0</v>
      </c>
      <c r="AE26" s="495">
        <f t="shared" si="29"/>
        <v>0</v>
      </c>
      <c r="AF26" s="495">
        <f t="shared" si="29"/>
        <v>1000</v>
      </c>
      <c r="AG26" s="495">
        <f t="shared" si="29"/>
        <v>0</v>
      </c>
      <c r="AH26" s="495">
        <f t="shared" si="29"/>
        <v>0</v>
      </c>
      <c r="AI26" s="495">
        <f t="shared" si="29"/>
        <v>0</v>
      </c>
      <c r="AJ26" s="496">
        <f aca="true" t="shared" si="32" ref="AJ26:AJ43">SUM(AK26:AQ26)</f>
        <v>7600</v>
      </c>
      <c r="AK26" s="495">
        <f>SUM(AK27:AK30)</f>
        <v>0</v>
      </c>
      <c r="AL26" s="495">
        <f t="shared" si="30"/>
        <v>0</v>
      </c>
      <c r="AM26" s="495">
        <f t="shared" si="30"/>
        <v>0</v>
      </c>
      <c r="AN26" s="495">
        <f>SUM(AN27:AN30)</f>
        <v>7600</v>
      </c>
      <c r="AO26" s="495">
        <f t="shared" si="30"/>
        <v>0</v>
      </c>
      <c r="AP26" s="495">
        <f t="shared" si="30"/>
        <v>0</v>
      </c>
      <c r="AQ26" s="495">
        <f t="shared" si="30"/>
        <v>0</v>
      </c>
    </row>
    <row r="27" spans="1:43" ht="18.75" customHeight="1">
      <c r="A27" s="312"/>
      <c r="B27" s="461" t="s">
        <v>93</v>
      </c>
      <c r="C27" s="472"/>
      <c r="D27" s="308">
        <f aca="true" t="shared" si="33" ref="D27:D36">E27+F27+G27+H27+I27+J27+K27</f>
        <v>0</v>
      </c>
      <c r="E27" s="24">
        <f t="shared" si="26"/>
        <v>0</v>
      </c>
      <c r="F27" s="24">
        <f t="shared" si="21"/>
        <v>0</v>
      </c>
      <c r="G27" s="24">
        <f>O27+W27+AE27+AM27</f>
        <v>0</v>
      </c>
      <c r="H27" s="24">
        <f>P27+X27+AF27+AN27</f>
        <v>0</v>
      </c>
      <c r="I27" s="24">
        <f t="shared" si="10"/>
        <v>0</v>
      </c>
      <c r="J27" s="24">
        <f t="shared" si="8"/>
        <v>0</v>
      </c>
      <c r="K27" s="24">
        <f>S27+AA27+AI27+AQ27</f>
        <v>0</v>
      </c>
      <c r="L27" s="502">
        <f>SUM(M27:S27)</f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502">
        <f aca="true" t="shared" si="34" ref="T27:T43">SUM(U27:AA27)</f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502">
        <f t="shared" si="31"/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502">
        <f t="shared" si="32"/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</row>
    <row r="28" spans="1:43" ht="24.75" customHeight="1">
      <c r="A28" s="312" t="s">
        <v>410</v>
      </c>
      <c r="B28" s="505" t="s">
        <v>94</v>
      </c>
      <c r="C28" s="473" t="s">
        <v>113</v>
      </c>
      <c r="D28" s="308">
        <f t="shared" si="33"/>
        <v>43200</v>
      </c>
      <c r="E28" s="24">
        <f t="shared" si="26"/>
        <v>0</v>
      </c>
      <c r="F28" s="24">
        <f t="shared" si="21"/>
        <v>0</v>
      </c>
      <c r="G28" s="24">
        <f>O28+W28+AE28+AM28</f>
        <v>0</v>
      </c>
      <c r="H28" s="24">
        <f>P28+X28+AF28+AN28</f>
        <v>43200</v>
      </c>
      <c r="I28" s="24">
        <f t="shared" si="10"/>
        <v>0</v>
      </c>
      <c r="J28" s="24">
        <f t="shared" si="8"/>
        <v>0</v>
      </c>
      <c r="K28" s="24">
        <f>S28+AA28+AI28+AQ28</f>
        <v>0</v>
      </c>
      <c r="L28" s="502">
        <f>SUM(N28:S28)</f>
        <v>17200</v>
      </c>
      <c r="M28" s="16">
        <v>0</v>
      </c>
      <c r="N28" s="16">
        <v>0</v>
      </c>
      <c r="O28" s="16">
        <v>0</v>
      </c>
      <c r="P28" s="16">
        <f>7000+4800+5400</f>
        <v>17200</v>
      </c>
      <c r="Q28" s="16">
        <v>0</v>
      </c>
      <c r="R28" s="16">
        <v>0</v>
      </c>
      <c r="S28" s="16">
        <v>0</v>
      </c>
      <c r="T28" s="502">
        <f t="shared" si="34"/>
        <v>19400</v>
      </c>
      <c r="U28" s="16">
        <v>0</v>
      </c>
      <c r="V28" s="16">
        <v>0</v>
      </c>
      <c r="W28" s="16">
        <v>0</v>
      </c>
      <c r="X28" s="16">
        <f>7000+7000+5400</f>
        <v>19400</v>
      </c>
      <c r="Y28" s="16">
        <v>0</v>
      </c>
      <c r="Z28" s="16">
        <v>0</v>
      </c>
      <c r="AA28" s="16">
        <v>0</v>
      </c>
      <c r="AB28" s="502">
        <f t="shared" si="31"/>
        <v>0</v>
      </c>
      <c r="AC28" s="16">
        <v>0</v>
      </c>
      <c r="AD28" s="16">
        <v>0</v>
      </c>
      <c r="AE28" s="16">
        <v>0</v>
      </c>
      <c r="AF28" s="16">
        <f>7000-7000</f>
        <v>0</v>
      </c>
      <c r="AG28" s="16">
        <v>0</v>
      </c>
      <c r="AH28" s="16">
        <v>0</v>
      </c>
      <c r="AI28" s="16">
        <v>0</v>
      </c>
      <c r="AJ28" s="502">
        <f t="shared" si="32"/>
        <v>6600</v>
      </c>
      <c r="AK28" s="16">
        <v>0</v>
      </c>
      <c r="AL28" s="16">
        <v>0</v>
      </c>
      <c r="AM28" s="16">
        <v>0</v>
      </c>
      <c r="AN28" s="16">
        <v>6600</v>
      </c>
      <c r="AO28" s="16">
        <v>0</v>
      </c>
      <c r="AP28" s="16">
        <v>0</v>
      </c>
      <c r="AQ28" s="16">
        <v>0</v>
      </c>
    </row>
    <row r="29" spans="1:43" ht="27.75" customHeight="1">
      <c r="A29" s="312" t="s">
        <v>669</v>
      </c>
      <c r="B29" s="506" t="s">
        <v>64</v>
      </c>
      <c r="C29" s="469">
        <v>226</v>
      </c>
      <c r="D29" s="308">
        <f t="shared" si="33"/>
        <v>2000</v>
      </c>
      <c r="E29" s="24">
        <f t="shared" si="26"/>
        <v>0</v>
      </c>
      <c r="F29" s="24">
        <f t="shared" si="21"/>
        <v>0</v>
      </c>
      <c r="G29" s="24">
        <f aca="true" t="shared" si="35" ref="G29:K30">O29+W29+AE29+AM29</f>
        <v>0</v>
      </c>
      <c r="H29" s="24">
        <f t="shared" si="35"/>
        <v>2000</v>
      </c>
      <c r="I29" s="24">
        <f t="shared" si="35"/>
        <v>0</v>
      </c>
      <c r="J29" s="24">
        <f t="shared" si="35"/>
        <v>0</v>
      </c>
      <c r="K29" s="24">
        <f t="shared" si="35"/>
        <v>0</v>
      </c>
      <c r="L29" s="502">
        <f>SUM(M29:S29)</f>
        <v>1000</v>
      </c>
      <c r="M29" s="16">
        <v>0</v>
      </c>
      <c r="N29" s="14">
        <v>0</v>
      </c>
      <c r="O29" s="14">
        <v>0</v>
      </c>
      <c r="P29" s="14">
        <v>1000</v>
      </c>
      <c r="Q29" s="14">
        <v>0</v>
      </c>
      <c r="R29" s="14">
        <v>0</v>
      </c>
      <c r="S29" s="14">
        <v>0</v>
      </c>
      <c r="T29" s="502">
        <f t="shared" si="34"/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502">
        <f t="shared" si="31"/>
        <v>1000</v>
      </c>
      <c r="AC29" s="14">
        <v>0</v>
      </c>
      <c r="AD29" s="14">
        <v>0</v>
      </c>
      <c r="AE29" s="14">
        <v>0</v>
      </c>
      <c r="AF29" s="14">
        <v>1000</v>
      </c>
      <c r="AG29" s="14">
        <v>0</v>
      </c>
      <c r="AH29" s="14">
        <v>0</v>
      </c>
      <c r="AI29" s="14">
        <v>0</v>
      </c>
      <c r="AJ29" s="502">
        <f t="shared" si="32"/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</row>
    <row r="30" spans="1:43" ht="24.75" customHeight="1">
      <c r="A30" s="312" t="s">
        <v>670</v>
      </c>
      <c r="B30" s="506" t="s">
        <v>66</v>
      </c>
      <c r="C30" s="469">
        <v>226</v>
      </c>
      <c r="D30" s="308">
        <f t="shared" si="33"/>
        <v>2000</v>
      </c>
      <c r="E30" s="24">
        <f t="shared" si="26"/>
        <v>0</v>
      </c>
      <c r="F30" s="24">
        <f t="shared" si="21"/>
        <v>0</v>
      </c>
      <c r="G30" s="24">
        <f t="shared" si="35"/>
        <v>0</v>
      </c>
      <c r="H30" s="24">
        <f t="shared" si="35"/>
        <v>2000</v>
      </c>
      <c r="I30" s="24">
        <f t="shared" si="35"/>
        <v>0</v>
      </c>
      <c r="J30" s="24">
        <f>R30+Z30+AH30+AP30</f>
        <v>0</v>
      </c>
      <c r="K30" s="24">
        <f t="shared" si="35"/>
        <v>0</v>
      </c>
      <c r="L30" s="502">
        <f>SUM(M30:S30)</f>
        <v>0</v>
      </c>
      <c r="M30" s="16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502">
        <f t="shared" si="34"/>
        <v>1000</v>
      </c>
      <c r="U30" s="14">
        <v>0</v>
      </c>
      <c r="V30" s="14">
        <v>0</v>
      </c>
      <c r="W30" s="14">
        <v>0</v>
      </c>
      <c r="X30" s="14">
        <v>1000</v>
      </c>
      <c r="Y30" s="14">
        <v>0</v>
      </c>
      <c r="Z30" s="14">
        <v>0</v>
      </c>
      <c r="AA30" s="14">
        <v>0</v>
      </c>
      <c r="AB30" s="502">
        <f t="shared" si="31"/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502">
        <f t="shared" si="32"/>
        <v>1000</v>
      </c>
      <c r="AK30" s="14">
        <v>0</v>
      </c>
      <c r="AL30" s="14">
        <v>0</v>
      </c>
      <c r="AM30" s="14">
        <v>0</v>
      </c>
      <c r="AN30" s="14">
        <v>1000</v>
      </c>
      <c r="AO30" s="14">
        <v>0</v>
      </c>
      <c r="AP30" s="14">
        <v>0</v>
      </c>
      <c r="AQ30" s="14">
        <v>0</v>
      </c>
    </row>
    <row r="31" spans="1:43" ht="40.5" customHeight="1">
      <c r="A31" s="507" t="s">
        <v>411</v>
      </c>
      <c r="B31" s="508" t="s">
        <v>731</v>
      </c>
      <c r="C31" s="474">
        <v>220</v>
      </c>
      <c r="D31" s="509">
        <f>E31+F31+G31+H31+I31+J31+K31</f>
        <v>9841154.65</v>
      </c>
      <c r="E31" s="510">
        <f>M31+U31+AC31+AK31</f>
        <v>2161500</v>
      </c>
      <c r="F31" s="510">
        <f>N31+V31+AD31+AL31</f>
        <v>1177934.65</v>
      </c>
      <c r="G31" s="510">
        <f>O31+W31+AE31+AM31</f>
        <v>0</v>
      </c>
      <c r="H31" s="510">
        <f>P31+X31+AF31+AN31</f>
        <v>4894520</v>
      </c>
      <c r="I31" s="730">
        <f t="shared" si="10"/>
        <v>1500000</v>
      </c>
      <c r="J31" s="510">
        <f t="shared" si="8"/>
        <v>0</v>
      </c>
      <c r="K31" s="510">
        <f aca="true" t="shared" si="36" ref="K31:K69">S31+AA31+AI31+AQ31</f>
        <v>107200</v>
      </c>
      <c r="L31" s="509">
        <f>SUM(M31:S31)</f>
        <v>2066244.3900000001</v>
      </c>
      <c r="M31" s="509">
        <f aca="true" t="shared" si="37" ref="M31:S31">M32+M35+M37+M42+M44+M68+M89+M91</f>
        <v>663700</v>
      </c>
      <c r="N31" s="509">
        <f t="shared" si="37"/>
        <v>29974.39</v>
      </c>
      <c r="O31" s="509">
        <f t="shared" si="37"/>
        <v>0</v>
      </c>
      <c r="P31" s="509">
        <f t="shared" si="37"/>
        <v>1344570</v>
      </c>
      <c r="Q31" s="509">
        <f t="shared" si="37"/>
        <v>0</v>
      </c>
      <c r="R31" s="509">
        <f t="shared" si="37"/>
        <v>0</v>
      </c>
      <c r="S31" s="509">
        <f t="shared" si="37"/>
        <v>28000</v>
      </c>
      <c r="T31" s="509">
        <f>SUM(U31:AA31)</f>
        <v>4444310.26</v>
      </c>
      <c r="U31" s="509">
        <f aca="true" t="shared" si="38" ref="U31:AA31">U32+U35+U37+U42+U44+U68+U89+U91</f>
        <v>574700</v>
      </c>
      <c r="V31" s="509">
        <f t="shared" si="38"/>
        <v>711860.26</v>
      </c>
      <c r="W31" s="509">
        <f t="shared" si="38"/>
        <v>0</v>
      </c>
      <c r="X31" s="509">
        <f t="shared" si="38"/>
        <v>1632750</v>
      </c>
      <c r="Y31" s="729">
        <f t="shared" si="38"/>
        <v>1500000</v>
      </c>
      <c r="Z31" s="509">
        <f t="shared" si="38"/>
        <v>0</v>
      </c>
      <c r="AA31" s="509">
        <f t="shared" si="38"/>
        <v>25000</v>
      </c>
      <c r="AB31" s="509">
        <f>SUM(AC31:AI31)</f>
        <v>2211950</v>
      </c>
      <c r="AC31" s="509">
        <f aca="true" t="shared" si="39" ref="AC31:AI31">AC32+AC35+AC37+AC42+AC44+AC68+AC89+AC91</f>
        <v>514900</v>
      </c>
      <c r="AD31" s="509">
        <f t="shared" si="39"/>
        <v>436100</v>
      </c>
      <c r="AE31" s="509">
        <f t="shared" si="39"/>
        <v>0</v>
      </c>
      <c r="AF31" s="509">
        <f t="shared" si="39"/>
        <v>1232950</v>
      </c>
      <c r="AG31" s="509">
        <f t="shared" si="39"/>
        <v>0</v>
      </c>
      <c r="AH31" s="509">
        <f t="shared" si="39"/>
        <v>0</v>
      </c>
      <c r="AI31" s="509">
        <f t="shared" si="39"/>
        <v>28000</v>
      </c>
      <c r="AJ31" s="509">
        <f>SUM(AK31:AQ31)</f>
        <v>1118650</v>
      </c>
      <c r="AK31" s="509">
        <f aca="true" t="shared" si="40" ref="AK31:AQ31">AK32+AK35+AK37+AK42+AK44+AK68+AK89+AK91</f>
        <v>408200</v>
      </c>
      <c r="AL31" s="509">
        <f t="shared" si="40"/>
        <v>0</v>
      </c>
      <c r="AM31" s="509">
        <f t="shared" si="40"/>
        <v>0</v>
      </c>
      <c r="AN31" s="509">
        <f t="shared" si="40"/>
        <v>684250</v>
      </c>
      <c r="AO31" s="509">
        <f t="shared" si="40"/>
        <v>0</v>
      </c>
      <c r="AP31" s="509">
        <f t="shared" si="40"/>
        <v>0</v>
      </c>
      <c r="AQ31" s="509">
        <f t="shared" si="40"/>
        <v>26200</v>
      </c>
    </row>
    <row r="32" spans="1:43" ht="33" customHeight="1">
      <c r="A32" s="504" t="s">
        <v>413</v>
      </c>
      <c r="B32" s="511" t="s">
        <v>414</v>
      </c>
      <c r="C32" s="475">
        <v>221</v>
      </c>
      <c r="D32" s="512">
        <f t="shared" si="33"/>
        <v>150600</v>
      </c>
      <c r="E32" s="513">
        <f aca="true" t="shared" si="41" ref="E32:G33">M32+U32+AC32+AK32</f>
        <v>55200</v>
      </c>
      <c r="F32" s="513">
        <f t="shared" si="41"/>
        <v>0</v>
      </c>
      <c r="G32" s="513">
        <f t="shared" si="41"/>
        <v>0</v>
      </c>
      <c r="H32" s="513">
        <f aca="true" t="shared" si="42" ref="H32:H37">P32+X32+AF32+AN32</f>
        <v>95400</v>
      </c>
      <c r="I32" s="513">
        <f t="shared" si="10"/>
        <v>0</v>
      </c>
      <c r="J32" s="513">
        <f t="shared" si="8"/>
        <v>0</v>
      </c>
      <c r="K32" s="513">
        <f t="shared" si="36"/>
        <v>0</v>
      </c>
      <c r="L32" s="514">
        <f aca="true" t="shared" si="43" ref="L32:L42">SUM(M32:S32)</f>
        <v>49400</v>
      </c>
      <c r="M32" s="515">
        <f>SUM(M33:M34)</f>
        <v>13800</v>
      </c>
      <c r="N32" s="515">
        <f>SUM(N33:N34)</f>
        <v>0</v>
      </c>
      <c r="O32" s="515">
        <f>SUM(O33:O34)</f>
        <v>0</v>
      </c>
      <c r="P32" s="515">
        <f>P33+P34</f>
        <v>35600</v>
      </c>
      <c r="Q32" s="515">
        <f>SUM(Q33:Q34)</f>
        <v>0</v>
      </c>
      <c r="R32" s="515">
        <f>SUM(R33:R34)</f>
        <v>0</v>
      </c>
      <c r="S32" s="513">
        <f>S33+S34</f>
        <v>0</v>
      </c>
      <c r="T32" s="502">
        <f t="shared" si="34"/>
        <v>34200</v>
      </c>
      <c r="U32" s="515">
        <f aca="true" t="shared" si="44" ref="U32:AA32">SUM(U33:U34)</f>
        <v>13800</v>
      </c>
      <c r="V32" s="515">
        <f t="shared" si="44"/>
        <v>0</v>
      </c>
      <c r="W32" s="515">
        <f t="shared" si="44"/>
        <v>0</v>
      </c>
      <c r="X32" s="515">
        <f>X33+X34</f>
        <v>20400</v>
      </c>
      <c r="Y32" s="515">
        <f t="shared" si="44"/>
        <v>0</v>
      </c>
      <c r="Z32" s="515">
        <f t="shared" si="44"/>
        <v>0</v>
      </c>
      <c r="AA32" s="515">
        <f t="shared" si="44"/>
        <v>0</v>
      </c>
      <c r="AB32" s="502">
        <f t="shared" si="31"/>
        <v>34400</v>
      </c>
      <c r="AC32" s="515">
        <f aca="true" t="shared" si="45" ref="AC32:AI32">SUM(AC33:AC34)</f>
        <v>13800</v>
      </c>
      <c r="AD32" s="515">
        <f t="shared" si="45"/>
        <v>0</v>
      </c>
      <c r="AE32" s="515">
        <f t="shared" si="45"/>
        <v>0</v>
      </c>
      <c r="AF32" s="515">
        <f>AF33+AF34</f>
        <v>20600</v>
      </c>
      <c r="AG32" s="515">
        <f t="shared" si="45"/>
        <v>0</v>
      </c>
      <c r="AH32" s="515">
        <f t="shared" si="45"/>
        <v>0</v>
      </c>
      <c r="AI32" s="515">
        <f t="shared" si="45"/>
        <v>0</v>
      </c>
      <c r="AJ32" s="502">
        <f t="shared" si="32"/>
        <v>32600</v>
      </c>
      <c r="AK32" s="515">
        <f aca="true" t="shared" si="46" ref="AK32:AQ32">SUM(AK33:AK34)</f>
        <v>13800</v>
      </c>
      <c r="AL32" s="515">
        <f t="shared" si="46"/>
        <v>0</v>
      </c>
      <c r="AM32" s="515">
        <f t="shared" si="46"/>
        <v>0</v>
      </c>
      <c r="AN32" s="515">
        <f>AN33+AN34</f>
        <v>18800</v>
      </c>
      <c r="AO32" s="515">
        <f t="shared" si="46"/>
        <v>0</v>
      </c>
      <c r="AP32" s="515">
        <f t="shared" si="46"/>
        <v>0</v>
      </c>
      <c r="AQ32" s="515">
        <f t="shared" si="46"/>
        <v>0</v>
      </c>
    </row>
    <row r="33" spans="1:43" ht="29.25" customHeight="1">
      <c r="A33" s="312" t="s">
        <v>732</v>
      </c>
      <c r="B33" s="461" t="s">
        <v>96</v>
      </c>
      <c r="C33" s="469">
        <v>221</v>
      </c>
      <c r="D33" s="308">
        <f t="shared" si="33"/>
        <v>75103.64</v>
      </c>
      <c r="E33" s="308">
        <f t="shared" si="41"/>
        <v>38103.64</v>
      </c>
      <c r="F33" s="24">
        <f t="shared" si="41"/>
        <v>0</v>
      </c>
      <c r="G33" s="24">
        <f t="shared" si="41"/>
        <v>0</v>
      </c>
      <c r="H33" s="24">
        <f t="shared" si="42"/>
        <v>37000</v>
      </c>
      <c r="I33" s="24">
        <f t="shared" si="10"/>
        <v>0</v>
      </c>
      <c r="J33" s="24">
        <f t="shared" si="8"/>
        <v>0</v>
      </c>
      <c r="K33" s="24">
        <f t="shared" si="36"/>
        <v>0</v>
      </c>
      <c r="L33" s="502">
        <f t="shared" si="43"/>
        <v>18300</v>
      </c>
      <c r="M33" s="14">
        <f>6200+3000</f>
        <v>9200</v>
      </c>
      <c r="N33" s="14">
        <v>0</v>
      </c>
      <c r="O33" s="14">
        <v>0</v>
      </c>
      <c r="P33" s="14">
        <f>15400-1400-4900</f>
        <v>9100</v>
      </c>
      <c r="Q33" s="14">
        <v>0</v>
      </c>
      <c r="R33" s="14">
        <v>0</v>
      </c>
      <c r="S33" s="14">
        <v>0</v>
      </c>
      <c r="T33" s="502">
        <f t="shared" si="34"/>
        <v>18503.64</v>
      </c>
      <c r="U33" s="14">
        <f>6200+3000+1403.64</f>
        <v>10603.64</v>
      </c>
      <c r="V33" s="14">
        <v>0</v>
      </c>
      <c r="W33" s="14">
        <v>0</v>
      </c>
      <c r="X33" s="14">
        <f>15300-1400-6000</f>
        <v>7900</v>
      </c>
      <c r="Y33" s="14">
        <v>0</v>
      </c>
      <c r="Z33" s="14">
        <v>0</v>
      </c>
      <c r="AA33" s="14">
        <v>0</v>
      </c>
      <c r="AB33" s="502">
        <f t="shared" si="31"/>
        <v>18700</v>
      </c>
      <c r="AC33" s="14">
        <f>6200+3000</f>
        <v>9200</v>
      </c>
      <c r="AD33" s="14">
        <v>0</v>
      </c>
      <c r="AE33" s="14">
        <v>0</v>
      </c>
      <c r="AF33" s="14">
        <f>15400-1400-4500</f>
        <v>9500</v>
      </c>
      <c r="AG33" s="14">
        <v>0</v>
      </c>
      <c r="AH33" s="14">
        <v>0</v>
      </c>
      <c r="AI33" s="14">
        <v>0</v>
      </c>
      <c r="AJ33" s="502">
        <f t="shared" si="32"/>
        <v>19600</v>
      </c>
      <c r="AK33" s="14">
        <f>6200+2900</f>
        <v>9100</v>
      </c>
      <c r="AL33" s="14">
        <v>0</v>
      </c>
      <c r="AM33" s="14">
        <v>0</v>
      </c>
      <c r="AN33" s="14">
        <f>15700-1200-4000</f>
        <v>10500</v>
      </c>
      <c r="AO33" s="14">
        <v>0</v>
      </c>
      <c r="AP33" s="14">
        <v>0</v>
      </c>
      <c r="AQ33" s="14">
        <v>0</v>
      </c>
    </row>
    <row r="34" spans="1:43" ht="28.5" customHeight="1">
      <c r="A34" s="312" t="s">
        <v>733</v>
      </c>
      <c r="B34" s="461" t="s">
        <v>186</v>
      </c>
      <c r="C34" s="469">
        <v>221</v>
      </c>
      <c r="D34" s="308">
        <f t="shared" si="33"/>
        <v>75496.36</v>
      </c>
      <c r="E34" s="308">
        <f>M34+U34+AC34+AK34</f>
        <v>17096.36</v>
      </c>
      <c r="F34" s="24">
        <f t="shared" si="21"/>
        <v>0</v>
      </c>
      <c r="G34" s="24">
        <f aca="true" t="shared" si="47" ref="G34:G55">O34+W34+AE34+AM34</f>
        <v>0</v>
      </c>
      <c r="H34" s="24">
        <f t="shared" si="42"/>
        <v>58400</v>
      </c>
      <c r="I34" s="24">
        <f>Q34+Y34+AG34+AO34</f>
        <v>0</v>
      </c>
      <c r="J34" s="24">
        <f t="shared" si="8"/>
        <v>0</v>
      </c>
      <c r="K34" s="24">
        <f t="shared" si="36"/>
        <v>0</v>
      </c>
      <c r="L34" s="502">
        <f t="shared" si="43"/>
        <v>31100</v>
      </c>
      <c r="M34" s="14">
        <f>7600-3000</f>
        <v>4600</v>
      </c>
      <c r="N34" s="14">
        <v>0</v>
      </c>
      <c r="O34" s="14">
        <v>0</v>
      </c>
      <c r="P34" s="14">
        <f>4100+1400+1100+4900+15000</f>
        <v>26500</v>
      </c>
      <c r="Q34" s="14">
        <v>0</v>
      </c>
      <c r="R34" s="14">
        <v>0</v>
      </c>
      <c r="S34" s="14">
        <v>0</v>
      </c>
      <c r="T34" s="502">
        <f t="shared" si="34"/>
        <v>15696.36</v>
      </c>
      <c r="U34" s="14">
        <f>7600-3000-1403.64</f>
        <v>3196.3599999999997</v>
      </c>
      <c r="V34" s="14">
        <v>0</v>
      </c>
      <c r="W34" s="14">
        <v>0</v>
      </c>
      <c r="X34" s="14">
        <f>4000+1400+1100+6000</f>
        <v>12500</v>
      </c>
      <c r="Y34" s="14">
        <v>0</v>
      </c>
      <c r="Z34" s="14">
        <v>0</v>
      </c>
      <c r="AA34" s="14">
        <v>0</v>
      </c>
      <c r="AB34" s="502">
        <f t="shared" si="31"/>
        <v>15700</v>
      </c>
      <c r="AC34" s="14">
        <f>7600-3000</f>
        <v>4600</v>
      </c>
      <c r="AD34" s="14">
        <v>0</v>
      </c>
      <c r="AE34" s="14">
        <v>0</v>
      </c>
      <c r="AF34" s="14">
        <f>4100+1400+1100+4500</f>
        <v>11100</v>
      </c>
      <c r="AG34" s="14">
        <v>0</v>
      </c>
      <c r="AH34" s="14">
        <v>0</v>
      </c>
      <c r="AI34" s="14">
        <v>0</v>
      </c>
      <c r="AJ34" s="502">
        <f t="shared" si="32"/>
        <v>13000</v>
      </c>
      <c r="AK34" s="14">
        <f>7600-2900</f>
        <v>4700</v>
      </c>
      <c r="AL34" s="14">
        <v>0</v>
      </c>
      <c r="AM34" s="14">
        <v>0</v>
      </c>
      <c r="AN34" s="14">
        <f>3100+1200+4000</f>
        <v>8300</v>
      </c>
      <c r="AO34" s="14">
        <v>0</v>
      </c>
      <c r="AP34" s="14">
        <v>0</v>
      </c>
      <c r="AQ34" s="14">
        <v>0</v>
      </c>
    </row>
    <row r="35" spans="1:43" ht="21" customHeight="1">
      <c r="A35" s="516" t="s">
        <v>734</v>
      </c>
      <c r="B35" s="517" t="s">
        <v>418</v>
      </c>
      <c r="C35" s="476">
        <v>222</v>
      </c>
      <c r="D35" s="518">
        <f t="shared" si="33"/>
        <v>110100</v>
      </c>
      <c r="E35" s="519">
        <f t="shared" si="26"/>
        <v>0</v>
      </c>
      <c r="F35" s="519">
        <f>N35+V35+AD35+AL35</f>
        <v>104800</v>
      </c>
      <c r="G35" s="519">
        <f t="shared" si="47"/>
        <v>0</v>
      </c>
      <c r="H35" s="519">
        <f t="shared" si="42"/>
        <v>5300</v>
      </c>
      <c r="I35" s="519">
        <f t="shared" si="10"/>
        <v>0</v>
      </c>
      <c r="J35" s="519">
        <f t="shared" si="8"/>
        <v>0</v>
      </c>
      <c r="K35" s="519">
        <f t="shared" si="36"/>
        <v>0</v>
      </c>
      <c r="L35" s="542">
        <f t="shared" si="43"/>
        <v>11950</v>
      </c>
      <c r="M35" s="518">
        <f aca="true" t="shared" si="48" ref="M35:S35">SUM(M36:M36)</f>
        <v>0</v>
      </c>
      <c r="N35" s="518">
        <f t="shared" si="48"/>
        <v>6650</v>
      </c>
      <c r="O35" s="518">
        <f t="shared" si="48"/>
        <v>0</v>
      </c>
      <c r="P35" s="518">
        <f t="shared" si="48"/>
        <v>5300</v>
      </c>
      <c r="Q35" s="518">
        <f t="shared" si="48"/>
        <v>0</v>
      </c>
      <c r="R35" s="518">
        <f>SUM(R36:R36)</f>
        <v>0</v>
      </c>
      <c r="S35" s="518">
        <f t="shared" si="48"/>
        <v>0</v>
      </c>
      <c r="T35" s="542">
        <f t="shared" si="34"/>
        <v>98150</v>
      </c>
      <c r="U35" s="518">
        <f aca="true" t="shared" si="49" ref="U35:AA35">SUM(U36:U36)</f>
        <v>0</v>
      </c>
      <c r="V35" s="518">
        <f>V36</f>
        <v>98150</v>
      </c>
      <c r="W35" s="518">
        <f t="shared" si="49"/>
        <v>0</v>
      </c>
      <c r="X35" s="518">
        <f t="shared" si="49"/>
        <v>0</v>
      </c>
      <c r="Y35" s="518">
        <f t="shared" si="49"/>
        <v>0</v>
      </c>
      <c r="Z35" s="518">
        <f t="shared" si="49"/>
        <v>0</v>
      </c>
      <c r="AA35" s="518">
        <f t="shared" si="49"/>
        <v>0</v>
      </c>
      <c r="AB35" s="520">
        <f t="shared" si="31"/>
        <v>0</v>
      </c>
      <c r="AC35" s="518">
        <f aca="true" t="shared" si="50" ref="AC35:AI35">SUM(AC36:AC36)</f>
        <v>0</v>
      </c>
      <c r="AD35" s="518">
        <f t="shared" si="50"/>
        <v>0</v>
      </c>
      <c r="AE35" s="518">
        <f t="shared" si="50"/>
        <v>0</v>
      </c>
      <c r="AF35" s="518">
        <f t="shared" si="50"/>
        <v>0</v>
      </c>
      <c r="AG35" s="518">
        <f t="shared" si="50"/>
        <v>0</v>
      </c>
      <c r="AH35" s="518">
        <f t="shared" si="50"/>
        <v>0</v>
      </c>
      <c r="AI35" s="518">
        <f t="shared" si="50"/>
        <v>0</v>
      </c>
      <c r="AJ35" s="520">
        <f t="shared" si="32"/>
        <v>0</v>
      </c>
      <c r="AK35" s="518">
        <f aca="true" t="shared" si="51" ref="AK35:AQ35">SUM(AK36:AK36)</f>
        <v>0</v>
      </c>
      <c r="AL35" s="518">
        <f t="shared" si="51"/>
        <v>0</v>
      </c>
      <c r="AM35" s="518">
        <f t="shared" si="51"/>
        <v>0</v>
      </c>
      <c r="AN35" s="518">
        <f t="shared" si="51"/>
        <v>0</v>
      </c>
      <c r="AO35" s="518">
        <f t="shared" si="51"/>
        <v>0</v>
      </c>
      <c r="AP35" s="518">
        <f t="shared" si="51"/>
        <v>0</v>
      </c>
      <c r="AQ35" s="518">
        <f t="shared" si="51"/>
        <v>0</v>
      </c>
    </row>
    <row r="36" spans="1:43" ht="27" customHeight="1">
      <c r="A36" s="312" t="s">
        <v>735</v>
      </c>
      <c r="B36" s="461" t="s">
        <v>418</v>
      </c>
      <c r="C36" s="462">
        <v>222</v>
      </c>
      <c r="D36" s="308">
        <f t="shared" si="33"/>
        <v>110100</v>
      </c>
      <c r="E36" s="24">
        <f t="shared" si="26"/>
        <v>0</v>
      </c>
      <c r="F36" s="24">
        <f t="shared" si="21"/>
        <v>104800</v>
      </c>
      <c r="G36" s="24">
        <f t="shared" si="47"/>
        <v>0</v>
      </c>
      <c r="H36" s="24">
        <f t="shared" si="42"/>
        <v>5300</v>
      </c>
      <c r="I36" s="24">
        <f t="shared" si="10"/>
        <v>0</v>
      </c>
      <c r="J36" s="24">
        <f t="shared" si="8"/>
        <v>0</v>
      </c>
      <c r="K36" s="24">
        <f t="shared" si="36"/>
        <v>0</v>
      </c>
      <c r="L36" s="502">
        <f t="shared" si="43"/>
        <v>11950</v>
      </c>
      <c r="M36" s="14">
        <v>0</v>
      </c>
      <c r="N36" s="14">
        <f>6380+270</f>
        <v>6650</v>
      </c>
      <c r="O36" s="14">
        <v>0</v>
      </c>
      <c r="P36" s="14">
        <v>5300</v>
      </c>
      <c r="Q36" s="14">
        <v>0</v>
      </c>
      <c r="R36" s="14">
        <v>0</v>
      </c>
      <c r="S36" s="14">
        <v>0</v>
      </c>
      <c r="T36" s="502">
        <f t="shared" si="34"/>
        <v>98150</v>
      </c>
      <c r="U36" s="14">
        <v>0</v>
      </c>
      <c r="V36" s="14">
        <f>2100+95000+1050</f>
        <v>98150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502">
        <f t="shared" si="31"/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502">
        <f t="shared" si="32"/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</row>
    <row r="37" spans="1:43" ht="20.25" customHeight="1">
      <c r="A37" s="504" t="s">
        <v>739</v>
      </c>
      <c r="B37" s="511" t="s">
        <v>97</v>
      </c>
      <c r="C37" s="477">
        <v>223</v>
      </c>
      <c r="D37" s="308">
        <f>E37+G37+H37+I37+J37+K37</f>
        <v>2346350</v>
      </c>
      <c r="E37" s="513">
        <f aca="true" t="shared" si="52" ref="E37:E42">M37+U37+AC37+AK37</f>
        <v>1100450</v>
      </c>
      <c r="F37" s="500">
        <f t="shared" si="21"/>
        <v>0</v>
      </c>
      <c r="G37" s="500">
        <f t="shared" si="47"/>
        <v>0</v>
      </c>
      <c r="H37" s="500">
        <f t="shared" si="42"/>
        <v>1192900</v>
      </c>
      <c r="I37" s="500">
        <f t="shared" si="10"/>
        <v>0</v>
      </c>
      <c r="J37" s="500">
        <f t="shared" si="8"/>
        <v>0</v>
      </c>
      <c r="K37" s="500">
        <f t="shared" si="36"/>
        <v>53000</v>
      </c>
      <c r="L37" s="502">
        <f>SUM(M37:S37)</f>
        <v>842250</v>
      </c>
      <c r="M37" s="515">
        <f>SUM(M38:M41)</f>
        <v>421350.00000000006</v>
      </c>
      <c r="N37" s="515">
        <f aca="true" t="shared" si="53" ref="N37:S37">SUM(N38:N41)</f>
        <v>0</v>
      </c>
      <c r="O37" s="515">
        <f t="shared" si="53"/>
        <v>0</v>
      </c>
      <c r="P37" s="515">
        <f>SUM(P38:P41)</f>
        <v>420900</v>
      </c>
      <c r="Q37" s="515">
        <f t="shared" si="53"/>
        <v>0</v>
      </c>
      <c r="R37" s="515">
        <f t="shared" si="53"/>
        <v>0</v>
      </c>
      <c r="S37" s="515">
        <f t="shared" si="53"/>
        <v>0</v>
      </c>
      <c r="T37" s="502">
        <f>SUM(U37:AA37)</f>
        <v>580800</v>
      </c>
      <c r="U37" s="515">
        <f>SUM(U38:U41)</f>
        <v>276600</v>
      </c>
      <c r="V37" s="515">
        <f aca="true" t="shared" si="54" ref="V37:AA37">SUM(V38:V41)</f>
        <v>0</v>
      </c>
      <c r="W37" s="515">
        <f t="shared" si="54"/>
        <v>0</v>
      </c>
      <c r="X37" s="515">
        <f t="shared" si="54"/>
        <v>279200</v>
      </c>
      <c r="Y37" s="515">
        <f t="shared" si="54"/>
        <v>0</v>
      </c>
      <c r="Z37" s="515">
        <f t="shared" si="54"/>
        <v>0</v>
      </c>
      <c r="AA37" s="515">
        <f t="shared" si="54"/>
        <v>25000</v>
      </c>
      <c r="AB37" s="502">
        <f>SUM(AC37:AI37)</f>
        <v>496400</v>
      </c>
      <c r="AC37" s="515">
        <f>SUM(AC38:AC41)</f>
        <v>220000</v>
      </c>
      <c r="AD37" s="515">
        <f aca="true" t="shared" si="55" ref="AD37:AI37">SUM(AD38:AD41)</f>
        <v>0</v>
      </c>
      <c r="AE37" s="515">
        <f t="shared" si="55"/>
        <v>0</v>
      </c>
      <c r="AF37" s="515">
        <f>SUM(AF38:AF41)</f>
        <v>248400</v>
      </c>
      <c r="AG37" s="515">
        <f t="shared" si="55"/>
        <v>0</v>
      </c>
      <c r="AH37" s="515">
        <f t="shared" si="55"/>
        <v>0</v>
      </c>
      <c r="AI37" s="515">
        <f t="shared" si="55"/>
        <v>28000</v>
      </c>
      <c r="AJ37" s="502">
        <f t="shared" si="32"/>
        <v>426900</v>
      </c>
      <c r="AK37" s="515">
        <f>SUM(AK38:AK41)</f>
        <v>182500</v>
      </c>
      <c r="AL37" s="515">
        <f aca="true" t="shared" si="56" ref="AL37:AQ37">SUM(AL38:AL41)</f>
        <v>0</v>
      </c>
      <c r="AM37" s="515">
        <f t="shared" si="56"/>
        <v>0</v>
      </c>
      <c r="AN37" s="515">
        <f t="shared" si="56"/>
        <v>244400</v>
      </c>
      <c r="AO37" s="515">
        <f t="shared" si="56"/>
        <v>0</v>
      </c>
      <c r="AP37" s="515">
        <v>0</v>
      </c>
      <c r="AQ37" s="515">
        <f t="shared" si="56"/>
        <v>0</v>
      </c>
    </row>
    <row r="38" spans="1:43" ht="19.5" customHeight="1">
      <c r="A38" s="312" t="s">
        <v>740</v>
      </c>
      <c r="B38" s="461" t="s">
        <v>25</v>
      </c>
      <c r="C38" s="469">
        <v>223</v>
      </c>
      <c r="D38" s="308">
        <f>E38+G38+H38+I38+J38+K38</f>
        <v>1036900</v>
      </c>
      <c r="E38" s="308">
        <f t="shared" si="52"/>
        <v>536900</v>
      </c>
      <c r="F38" s="24">
        <f t="shared" si="21"/>
        <v>0</v>
      </c>
      <c r="G38" s="24">
        <f t="shared" si="47"/>
        <v>0</v>
      </c>
      <c r="H38" s="24">
        <f aca="true" t="shared" si="57" ref="H38:H45">P38+X38+AF38+AN38</f>
        <v>500000</v>
      </c>
      <c r="I38" s="24">
        <f t="shared" si="10"/>
        <v>0</v>
      </c>
      <c r="J38" s="24">
        <f t="shared" si="8"/>
        <v>0</v>
      </c>
      <c r="K38" s="24">
        <f t="shared" si="36"/>
        <v>0</v>
      </c>
      <c r="L38" s="502">
        <f t="shared" si="43"/>
        <v>433678.9</v>
      </c>
      <c r="M38" s="14">
        <f>146500+45000+23600+36300+60078.9</f>
        <v>311478.9</v>
      </c>
      <c r="N38" s="16">
        <v>0</v>
      </c>
      <c r="O38" s="14">
        <v>0</v>
      </c>
      <c r="P38" s="14">
        <v>122200</v>
      </c>
      <c r="Q38" s="14">
        <v>0</v>
      </c>
      <c r="R38" s="14">
        <v>0</v>
      </c>
      <c r="S38" s="14">
        <v>0</v>
      </c>
      <c r="T38" s="502">
        <f>SUM(U38:AA38)</f>
        <v>293221.1</v>
      </c>
      <c r="U38" s="14">
        <f>119600-36300-60078.9+100000+15000</f>
        <v>138221.1</v>
      </c>
      <c r="V38" s="14">
        <v>0</v>
      </c>
      <c r="W38" s="14">
        <v>0</v>
      </c>
      <c r="X38" s="14">
        <f>150000-35000+40000</f>
        <v>155000</v>
      </c>
      <c r="Y38" s="14">
        <v>0</v>
      </c>
      <c r="Z38" s="14">
        <v>0</v>
      </c>
      <c r="AA38" s="14">
        <f>40000-40000</f>
        <v>0</v>
      </c>
      <c r="AB38" s="502">
        <f t="shared" si="31"/>
        <v>113600</v>
      </c>
      <c r="AC38" s="14">
        <f>34400-15000</f>
        <v>19400</v>
      </c>
      <c r="AD38" s="14">
        <v>0</v>
      </c>
      <c r="AE38" s="14">
        <v>0</v>
      </c>
      <c r="AF38" s="14">
        <f>64200-30000+60000</f>
        <v>94200</v>
      </c>
      <c r="AG38" s="14">
        <v>0</v>
      </c>
      <c r="AH38" s="14">
        <v>0</v>
      </c>
      <c r="AI38" s="14">
        <f>60000-60000</f>
        <v>0</v>
      </c>
      <c r="AJ38" s="502">
        <f t="shared" si="32"/>
        <v>196400</v>
      </c>
      <c r="AK38" s="14">
        <f>112800-45000</f>
        <v>67800</v>
      </c>
      <c r="AL38" s="14">
        <v>0</v>
      </c>
      <c r="AM38" s="14">
        <v>0</v>
      </c>
      <c r="AN38" s="14">
        <v>128600</v>
      </c>
      <c r="AO38" s="14">
        <v>0</v>
      </c>
      <c r="AP38" s="14">
        <v>0</v>
      </c>
      <c r="AQ38" s="14">
        <v>0</v>
      </c>
    </row>
    <row r="39" spans="1:43" ht="24.75" customHeight="1">
      <c r="A39" s="312" t="s">
        <v>741</v>
      </c>
      <c r="B39" s="521" t="s">
        <v>26</v>
      </c>
      <c r="C39" s="469">
        <v>223</v>
      </c>
      <c r="D39" s="308">
        <f>E39+G39+H39+I39+J39+K39</f>
        <v>993900</v>
      </c>
      <c r="E39" s="308">
        <f t="shared" si="52"/>
        <v>393900</v>
      </c>
      <c r="F39" s="24">
        <f>N39+V39+AD39+AL39</f>
        <v>0</v>
      </c>
      <c r="G39" s="24">
        <f t="shared" si="47"/>
        <v>0</v>
      </c>
      <c r="H39" s="24">
        <f t="shared" si="57"/>
        <v>547000</v>
      </c>
      <c r="I39" s="24">
        <f t="shared" si="10"/>
        <v>0</v>
      </c>
      <c r="J39" s="24">
        <f>R39+Z39+AH39+AP39</f>
        <v>0</v>
      </c>
      <c r="K39" s="24">
        <f t="shared" si="36"/>
        <v>53000</v>
      </c>
      <c r="L39" s="502">
        <f t="shared" si="43"/>
        <v>276978.65</v>
      </c>
      <c r="M39" s="14">
        <f>101900+30000+42800-36300-31921.35</f>
        <v>106478.65</v>
      </c>
      <c r="N39" s="16">
        <v>0</v>
      </c>
      <c r="O39" s="14">
        <v>0</v>
      </c>
      <c r="P39" s="14">
        <f>225500-55000</f>
        <v>170500</v>
      </c>
      <c r="Q39" s="14">
        <v>0</v>
      </c>
      <c r="R39" s="14">
        <v>0</v>
      </c>
      <c r="S39" s="14">
        <v>0</v>
      </c>
      <c r="T39" s="502">
        <f t="shared" si="34"/>
        <v>246221.35</v>
      </c>
      <c r="U39" s="14">
        <f>111500-13200+36300+31921.35-100000+35700</f>
        <v>102221.35</v>
      </c>
      <c r="V39" s="14">
        <v>0</v>
      </c>
      <c r="W39" s="14">
        <v>0</v>
      </c>
      <c r="X39" s="14">
        <f>204000-100000+15000</f>
        <v>119000</v>
      </c>
      <c r="Y39" s="14">
        <v>0</v>
      </c>
      <c r="Z39" s="14">
        <v>0</v>
      </c>
      <c r="AA39" s="14">
        <f>40000-15000</f>
        <v>25000</v>
      </c>
      <c r="AB39" s="502">
        <f t="shared" si="31"/>
        <v>281700</v>
      </c>
      <c r="AC39" s="14">
        <f>127100+13200-35700</f>
        <v>104600</v>
      </c>
      <c r="AD39" s="14">
        <v>0</v>
      </c>
      <c r="AE39" s="14">
        <v>0</v>
      </c>
      <c r="AF39" s="14">
        <f>247100-130000+32000</f>
        <v>149100</v>
      </c>
      <c r="AG39" s="14">
        <v>0</v>
      </c>
      <c r="AH39" s="14">
        <v>0</v>
      </c>
      <c r="AI39" s="14">
        <f>60000-32000</f>
        <v>28000</v>
      </c>
      <c r="AJ39" s="502">
        <f t="shared" si="32"/>
        <v>189000</v>
      </c>
      <c r="AK39" s="14">
        <f>110600-30000</f>
        <v>80600</v>
      </c>
      <c r="AL39" s="14">
        <v>0</v>
      </c>
      <c r="AM39" s="14">
        <v>0</v>
      </c>
      <c r="AN39" s="14">
        <f>219400-111000</f>
        <v>108400</v>
      </c>
      <c r="AO39" s="14">
        <v>0</v>
      </c>
      <c r="AP39" s="14">
        <v>0</v>
      </c>
      <c r="AQ39" s="14">
        <v>0</v>
      </c>
    </row>
    <row r="40" spans="1:43" ht="28.5" customHeight="1">
      <c r="A40" s="312" t="s">
        <v>744</v>
      </c>
      <c r="B40" s="461" t="s">
        <v>714</v>
      </c>
      <c r="C40" s="469">
        <v>223</v>
      </c>
      <c r="D40" s="308">
        <f>E40+G40+H40+I40+J40+K40</f>
        <v>47300</v>
      </c>
      <c r="E40" s="308">
        <f t="shared" si="52"/>
        <v>24400</v>
      </c>
      <c r="F40" s="24">
        <f>N40+V40+AD40+AL40</f>
        <v>0</v>
      </c>
      <c r="G40" s="24">
        <f>O40+W40+AE40+AM40</f>
        <v>0</v>
      </c>
      <c r="H40" s="24">
        <f>P40+X40+AF40+AN40</f>
        <v>22900</v>
      </c>
      <c r="I40" s="24">
        <f>Q40+Y40+AG40+AO40</f>
        <v>0</v>
      </c>
      <c r="J40" s="24">
        <f>R40+Z40+AH40+AP40</f>
        <v>0</v>
      </c>
      <c r="K40" s="24">
        <f t="shared" si="36"/>
        <v>0</v>
      </c>
      <c r="L40" s="502">
        <f>SUM(M40:S40)</f>
        <v>8592.45</v>
      </c>
      <c r="M40" s="14">
        <f>6000+400-3007.55</f>
        <v>3392.45</v>
      </c>
      <c r="N40" s="16">
        <v>0</v>
      </c>
      <c r="O40" s="14">
        <v>0</v>
      </c>
      <c r="P40" s="14">
        <v>5200</v>
      </c>
      <c r="Q40" s="14">
        <v>0</v>
      </c>
      <c r="R40" s="14">
        <v>0</v>
      </c>
      <c r="S40" s="14">
        <v>0</v>
      </c>
      <c r="T40" s="502">
        <f>SUM(U40:AA40)</f>
        <v>14207.55</v>
      </c>
      <c r="U40" s="14">
        <f>6000+3007.55</f>
        <v>9007.55</v>
      </c>
      <c r="V40" s="14">
        <v>0</v>
      </c>
      <c r="W40" s="14">
        <v>0</v>
      </c>
      <c r="X40" s="14">
        <v>5200</v>
      </c>
      <c r="Y40" s="14">
        <v>0</v>
      </c>
      <c r="Z40" s="14">
        <v>0</v>
      </c>
      <c r="AA40" s="14">
        <v>0</v>
      </c>
      <c r="AB40" s="502">
        <f>SUM(AC40:AI40)</f>
        <v>11100</v>
      </c>
      <c r="AC40" s="14">
        <v>6000</v>
      </c>
      <c r="AD40" s="14">
        <v>0</v>
      </c>
      <c r="AE40" s="14">
        <v>0</v>
      </c>
      <c r="AF40" s="14">
        <v>5100</v>
      </c>
      <c r="AG40" s="14">
        <v>0</v>
      </c>
      <c r="AH40" s="14">
        <v>0</v>
      </c>
      <c r="AI40" s="14">
        <v>0</v>
      </c>
      <c r="AJ40" s="502">
        <f>SUM(AK40:AQ40)</f>
        <v>13400</v>
      </c>
      <c r="AK40" s="14">
        <v>6000</v>
      </c>
      <c r="AL40" s="14">
        <v>0</v>
      </c>
      <c r="AM40" s="14">
        <v>0</v>
      </c>
      <c r="AN40" s="14">
        <v>7400</v>
      </c>
      <c r="AO40" s="14">
        <v>0</v>
      </c>
      <c r="AP40" s="14">
        <v>0</v>
      </c>
      <c r="AQ40" s="14">
        <v>0</v>
      </c>
    </row>
    <row r="41" spans="1:43" ht="28.5" customHeight="1">
      <c r="A41" s="312" t="s">
        <v>974</v>
      </c>
      <c r="B41" s="461" t="s">
        <v>983</v>
      </c>
      <c r="C41" s="469">
        <v>223</v>
      </c>
      <c r="D41" s="308">
        <f>E41+G41+H41+I41+J41+K41</f>
        <v>268250</v>
      </c>
      <c r="E41" s="308">
        <f t="shared" si="52"/>
        <v>145250</v>
      </c>
      <c r="F41" s="24">
        <f t="shared" si="21"/>
        <v>0</v>
      </c>
      <c r="G41" s="24">
        <f t="shared" si="47"/>
        <v>0</v>
      </c>
      <c r="H41" s="24">
        <f t="shared" si="57"/>
        <v>123000</v>
      </c>
      <c r="I41" s="24">
        <f t="shared" si="10"/>
        <v>0</v>
      </c>
      <c r="J41" s="24">
        <f t="shared" si="8"/>
        <v>0</v>
      </c>
      <c r="K41" s="24">
        <f t="shared" si="36"/>
        <v>0</v>
      </c>
      <c r="L41" s="502">
        <f t="shared" si="43"/>
        <v>123000</v>
      </c>
      <c r="M41" s="14">
        <f>28000-2850-25150</f>
        <v>0</v>
      </c>
      <c r="N41" s="16">
        <v>0</v>
      </c>
      <c r="O41" s="14">
        <v>0</v>
      </c>
      <c r="P41" s="14">
        <v>123000</v>
      </c>
      <c r="Q41" s="14">
        <v>0</v>
      </c>
      <c r="R41" s="14">
        <v>0</v>
      </c>
      <c r="S41" s="14">
        <v>0</v>
      </c>
      <c r="T41" s="502">
        <f t="shared" si="34"/>
        <v>27150</v>
      </c>
      <c r="U41" s="14">
        <f>52700+25150-15000-35700</f>
        <v>27150</v>
      </c>
      <c r="V41" s="14">
        <v>0</v>
      </c>
      <c r="W41" s="14">
        <v>0</v>
      </c>
      <c r="X41" s="14">
        <f>40000-40000</f>
        <v>0</v>
      </c>
      <c r="Y41" s="14">
        <v>0</v>
      </c>
      <c r="Z41" s="14">
        <v>0</v>
      </c>
      <c r="AA41" s="14">
        <v>0</v>
      </c>
      <c r="AB41" s="502">
        <f t="shared" si="31"/>
        <v>90000</v>
      </c>
      <c r="AC41" s="14">
        <f>39300+15000+35700</f>
        <v>90000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502">
        <f t="shared" si="32"/>
        <v>28100</v>
      </c>
      <c r="AK41" s="14">
        <v>28100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</row>
    <row r="42" spans="1:43" ht="35.25" customHeight="1">
      <c r="A42" s="504" t="s">
        <v>742</v>
      </c>
      <c r="B42" s="517" t="s">
        <v>427</v>
      </c>
      <c r="C42" s="476">
        <v>224</v>
      </c>
      <c r="D42" s="518">
        <f>E42+F42+G42+H42+I42+J42+K42</f>
        <v>4000</v>
      </c>
      <c r="E42" s="500">
        <f t="shared" si="52"/>
        <v>0</v>
      </c>
      <c r="F42" s="500">
        <f t="shared" si="21"/>
        <v>0</v>
      </c>
      <c r="G42" s="500">
        <f t="shared" si="47"/>
        <v>0</v>
      </c>
      <c r="H42" s="500">
        <f t="shared" si="57"/>
        <v>4000</v>
      </c>
      <c r="I42" s="500">
        <f t="shared" si="10"/>
        <v>0</v>
      </c>
      <c r="J42" s="500">
        <f t="shared" si="8"/>
        <v>0</v>
      </c>
      <c r="K42" s="500">
        <f t="shared" si="36"/>
        <v>0</v>
      </c>
      <c r="L42" s="514">
        <f t="shared" si="43"/>
        <v>1000</v>
      </c>
      <c r="M42" s="515">
        <f aca="true" t="shared" si="58" ref="M42:S42">SUM(M43:M43)</f>
        <v>0</v>
      </c>
      <c r="N42" s="515">
        <f t="shared" si="58"/>
        <v>0</v>
      </c>
      <c r="O42" s="515">
        <f t="shared" si="58"/>
        <v>0</v>
      </c>
      <c r="P42" s="515">
        <f t="shared" si="58"/>
        <v>1000</v>
      </c>
      <c r="Q42" s="515">
        <f t="shared" si="58"/>
        <v>0</v>
      </c>
      <c r="R42" s="515">
        <f t="shared" si="58"/>
        <v>0</v>
      </c>
      <c r="S42" s="515">
        <f t="shared" si="58"/>
        <v>0</v>
      </c>
      <c r="T42" s="502">
        <f t="shared" si="34"/>
        <v>1000</v>
      </c>
      <c r="U42" s="515">
        <f>SUM(U43:U43)</f>
        <v>0</v>
      </c>
      <c r="V42" s="515">
        <f>V43</f>
        <v>0</v>
      </c>
      <c r="W42" s="515">
        <f>SUM(W43:W43)</f>
        <v>0</v>
      </c>
      <c r="X42" s="515">
        <f>SUM(X43:X43)</f>
        <v>1000</v>
      </c>
      <c r="Y42" s="515">
        <f>SUM(Y43:Y43)</f>
        <v>0</v>
      </c>
      <c r="Z42" s="515">
        <f>SUM(Z43:Z43)</f>
        <v>0</v>
      </c>
      <c r="AA42" s="515">
        <f>SUM(AA43:AA43)</f>
        <v>0</v>
      </c>
      <c r="AB42" s="502">
        <f t="shared" si="31"/>
        <v>1000</v>
      </c>
      <c r="AC42" s="515">
        <f aca="true" t="shared" si="59" ref="AC42:AI42">SUM(AC43:AC43)</f>
        <v>0</v>
      </c>
      <c r="AD42" s="515">
        <f t="shared" si="59"/>
        <v>0</v>
      </c>
      <c r="AE42" s="515">
        <f t="shared" si="59"/>
        <v>0</v>
      </c>
      <c r="AF42" s="515">
        <f t="shared" si="59"/>
        <v>1000</v>
      </c>
      <c r="AG42" s="515">
        <f t="shared" si="59"/>
        <v>0</v>
      </c>
      <c r="AH42" s="515">
        <f t="shared" si="59"/>
        <v>0</v>
      </c>
      <c r="AI42" s="515">
        <f t="shared" si="59"/>
        <v>0</v>
      </c>
      <c r="AJ42" s="502">
        <f t="shared" si="32"/>
        <v>1000</v>
      </c>
      <c r="AK42" s="515">
        <f aca="true" t="shared" si="60" ref="AK42:AQ42">SUM(AK43:AK43)</f>
        <v>0</v>
      </c>
      <c r="AL42" s="515">
        <f t="shared" si="60"/>
        <v>0</v>
      </c>
      <c r="AM42" s="515">
        <f t="shared" si="60"/>
        <v>0</v>
      </c>
      <c r="AN42" s="515">
        <f t="shared" si="60"/>
        <v>1000</v>
      </c>
      <c r="AO42" s="515">
        <f t="shared" si="60"/>
        <v>0</v>
      </c>
      <c r="AP42" s="515">
        <f t="shared" si="60"/>
        <v>0</v>
      </c>
      <c r="AQ42" s="515">
        <f t="shared" si="60"/>
        <v>0</v>
      </c>
    </row>
    <row r="43" spans="1:43" ht="34.5" customHeight="1">
      <c r="A43" s="312" t="s">
        <v>743</v>
      </c>
      <c r="B43" s="461" t="s">
        <v>427</v>
      </c>
      <c r="C43" s="462">
        <v>224</v>
      </c>
      <c r="D43" s="308">
        <f>E43+F43+G43+H43+I43+J43+K43</f>
        <v>4000</v>
      </c>
      <c r="E43" s="24">
        <f aca="true" t="shared" si="61" ref="E43:E76">M43+U43+AC43+AK43</f>
        <v>0</v>
      </c>
      <c r="F43" s="24">
        <f aca="true" t="shared" si="62" ref="F43:F60">N43+V43+AD43+AL43</f>
        <v>0</v>
      </c>
      <c r="G43" s="24">
        <f t="shared" si="47"/>
        <v>0</v>
      </c>
      <c r="H43" s="24">
        <f t="shared" si="57"/>
        <v>4000</v>
      </c>
      <c r="I43" s="24">
        <f t="shared" si="10"/>
        <v>0</v>
      </c>
      <c r="J43" s="24">
        <f t="shared" si="8"/>
        <v>0</v>
      </c>
      <c r="K43" s="24">
        <f t="shared" si="36"/>
        <v>0</v>
      </c>
      <c r="L43" s="502">
        <f>SUM(M43:S43)</f>
        <v>1000</v>
      </c>
      <c r="M43" s="16">
        <v>0</v>
      </c>
      <c r="N43" s="16">
        <v>0</v>
      </c>
      <c r="O43" s="14">
        <v>0</v>
      </c>
      <c r="P43" s="14">
        <f>62500-18700-42800</f>
        <v>1000</v>
      </c>
      <c r="Q43" s="14">
        <v>0</v>
      </c>
      <c r="R43" s="14">
        <v>0</v>
      </c>
      <c r="S43" s="14">
        <v>0</v>
      </c>
      <c r="T43" s="502">
        <f t="shared" si="34"/>
        <v>1000</v>
      </c>
      <c r="U43" s="14">
        <v>0</v>
      </c>
      <c r="V43" s="14">
        <v>0</v>
      </c>
      <c r="W43" s="14">
        <v>0</v>
      </c>
      <c r="X43" s="14">
        <f>62500-18700-42800</f>
        <v>1000</v>
      </c>
      <c r="Y43" s="14">
        <v>0</v>
      </c>
      <c r="Z43" s="14">
        <v>0</v>
      </c>
      <c r="AA43" s="14">
        <v>0</v>
      </c>
      <c r="AB43" s="502">
        <f t="shared" si="31"/>
        <v>1000</v>
      </c>
      <c r="AC43" s="14">
        <v>0</v>
      </c>
      <c r="AD43" s="14">
        <v>0</v>
      </c>
      <c r="AE43" s="14">
        <v>0</v>
      </c>
      <c r="AF43" s="14">
        <f>62500+60000-18900-102600</f>
        <v>1000</v>
      </c>
      <c r="AG43" s="14">
        <v>0</v>
      </c>
      <c r="AH43" s="14">
        <v>0</v>
      </c>
      <c r="AI43" s="14">
        <v>0</v>
      </c>
      <c r="AJ43" s="502">
        <f t="shared" si="32"/>
        <v>1000</v>
      </c>
      <c r="AK43" s="14">
        <v>0</v>
      </c>
      <c r="AL43" s="14">
        <v>0</v>
      </c>
      <c r="AM43" s="14">
        <v>0</v>
      </c>
      <c r="AN43" s="14">
        <f>62500-18700-42800</f>
        <v>1000</v>
      </c>
      <c r="AO43" s="14">
        <v>0</v>
      </c>
      <c r="AP43" s="14">
        <v>0</v>
      </c>
      <c r="AQ43" s="14">
        <v>0</v>
      </c>
    </row>
    <row r="44" spans="1:43" ht="33" customHeight="1">
      <c r="A44" s="504" t="s">
        <v>745</v>
      </c>
      <c r="B44" s="511" t="s">
        <v>98</v>
      </c>
      <c r="C44" s="475">
        <v>225</v>
      </c>
      <c r="D44" s="495">
        <f>E44+F44+G44+H44+I44+J44+K44</f>
        <v>1491450</v>
      </c>
      <c r="E44" s="500">
        <f>M44+U44+AC44+AK44</f>
        <v>502950</v>
      </c>
      <c r="F44" s="500">
        <f t="shared" si="62"/>
        <v>0</v>
      </c>
      <c r="G44" s="500">
        <f t="shared" si="47"/>
        <v>0</v>
      </c>
      <c r="H44" s="500">
        <f t="shared" si="57"/>
        <v>988500</v>
      </c>
      <c r="I44" s="500">
        <f t="shared" si="10"/>
        <v>0</v>
      </c>
      <c r="J44" s="500">
        <f t="shared" si="8"/>
        <v>0</v>
      </c>
      <c r="K44" s="500">
        <f t="shared" si="36"/>
        <v>0</v>
      </c>
      <c r="L44" s="522">
        <f>SUM(M44:S44)</f>
        <v>204200</v>
      </c>
      <c r="M44" s="515">
        <f aca="true" t="shared" si="63" ref="M44:S44">SUM(M45:M66)</f>
        <v>66850</v>
      </c>
      <c r="N44" s="515">
        <f t="shared" si="63"/>
        <v>0</v>
      </c>
      <c r="O44" s="515">
        <f t="shared" si="63"/>
        <v>0</v>
      </c>
      <c r="P44" s="515">
        <f t="shared" si="63"/>
        <v>137350</v>
      </c>
      <c r="Q44" s="515">
        <f t="shared" si="63"/>
        <v>0</v>
      </c>
      <c r="R44" s="515">
        <f t="shared" si="63"/>
        <v>0</v>
      </c>
      <c r="S44" s="515">
        <f t="shared" si="63"/>
        <v>0</v>
      </c>
      <c r="T44" s="523">
        <f>SUM(U44:AA44)</f>
        <v>747250</v>
      </c>
      <c r="U44" s="515">
        <f aca="true" t="shared" si="64" ref="U44:AA44">SUM(U45:U66)</f>
        <v>194400</v>
      </c>
      <c r="V44" s="515">
        <f t="shared" si="64"/>
        <v>0</v>
      </c>
      <c r="W44" s="515">
        <f t="shared" si="64"/>
        <v>0</v>
      </c>
      <c r="X44" s="515">
        <f t="shared" si="64"/>
        <v>552850</v>
      </c>
      <c r="Y44" s="515">
        <f t="shared" si="64"/>
        <v>0</v>
      </c>
      <c r="Z44" s="515">
        <f t="shared" si="64"/>
        <v>0</v>
      </c>
      <c r="AA44" s="515">
        <f t="shared" si="64"/>
        <v>0</v>
      </c>
      <c r="AB44" s="523">
        <f>SUM(AC44:AI44)</f>
        <v>394250</v>
      </c>
      <c r="AC44" s="515">
        <f aca="true" t="shared" si="65" ref="AC44:AI44">SUM(AC45:AC66)</f>
        <v>155300</v>
      </c>
      <c r="AD44" s="515">
        <f t="shared" si="65"/>
        <v>0</v>
      </c>
      <c r="AE44" s="515">
        <f t="shared" si="65"/>
        <v>0</v>
      </c>
      <c r="AF44" s="515">
        <f t="shared" si="65"/>
        <v>238950</v>
      </c>
      <c r="AG44" s="515">
        <f t="shared" si="65"/>
        <v>0</v>
      </c>
      <c r="AH44" s="515">
        <f t="shared" si="65"/>
        <v>0</v>
      </c>
      <c r="AI44" s="515">
        <f t="shared" si="65"/>
        <v>0</v>
      </c>
      <c r="AJ44" s="523">
        <f>SUM(AK44:AQ44)</f>
        <v>145750</v>
      </c>
      <c r="AK44" s="515">
        <f aca="true" t="shared" si="66" ref="AK44:AQ44">SUM(AK45:AK66)</f>
        <v>86400</v>
      </c>
      <c r="AL44" s="515">
        <f t="shared" si="66"/>
        <v>0</v>
      </c>
      <c r="AM44" s="515">
        <f t="shared" si="66"/>
        <v>0</v>
      </c>
      <c r="AN44" s="515">
        <f t="shared" si="66"/>
        <v>59350</v>
      </c>
      <c r="AO44" s="515">
        <f t="shared" si="66"/>
        <v>0</v>
      </c>
      <c r="AP44" s="515">
        <f t="shared" si="66"/>
        <v>0</v>
      </c>
      <c r="AQ44" s="515">
        <f t="shared" si="66"/>
        <v>0</v>
      </c>
    </row>
    <row r="45" spans="1:43" ht="43.5" customHeight="1">
      <c r="A45" s="312" t="s">
        <v>639</v>
      </c>
      <c r="B45" s="461" t="s">
        <v>39</v>
      </c>
      <c r="C45" s="462">
        <v>225</v>
      </c>
      <c r="D45" s="308">
        <f>E45+G45+H45+I45+J45+K45</f>
        <v>122750</v>
      </c>
      <c r="E45" s="24">
        <f>M45+U45+AC45+AK45</f>
        <v>2850</v>
      </c>
      <c r="F45" s="24">
        <f t="shared" si="62"/>
        <v>0</v>
      </c>
      <c r="G45" s="24">
        <f t="shared" si="47"/>
        <v>0</v>
      </c>
      <c r="H45" s="24">
        <f t="shared" si="57"/>
        <v>119900</v>
      </c>
      <c r="I45" s="24">
        <f>Q45+Y45+AG45+AO45</f>
        <v>0</v>
      </c>
      <c r="J45" s="24">
        <f>R45+Z45+AH45+AP45</f>
        <v>0</v>
      </c>
      <c r="K45" s="24">
        <f t="shared" si="36"/>
        <v>0</v>
      </c>
      <c r="L45" s="502">
        <f>SUM(M45:S45)</f>
        <v>2850</v>
      </c>
      <c r="M45" s="16">
        <v>2850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502">
        <f>SUM(U45:AA45)</f>
        <v>114950</v>
      </c>
      <c r="U45" s="14">
        <v>0</v>
      </c>
      <c r="V45" s="14">
        <v>0</v>
      </c>
      <c r="W45" s="14">
        <v>0</v>
      </c>
      <c r="X45" s="14">
        <f>50000+20000+4950+40000</f>
        <v>114950</v>
      </c>
      <c r="Y45" s="14">
        <v>0</v>
      </c>
      <c r="Z45" s="14">
        <v>0</v>
      </c>
      <c r="AA45" s="14">
        <v>0</v>
      </c>
      <c r="AB45" s="502">
        <f>SUM(AC45:AI45)</f>
        <v>4950</v>
      </c>
      <c r="AC45" s="14">
        <v>0</v>
      </c>
      <c r="AD45" s="14">
        <v>0</v>
      </c>
      <c r="AE45" s="14">
        <v>0</v>
      </c>
      <c r="AF45" s="14">
        <v>4950</v>
      </c>
      <c r="AG45" s="14">
        <v>0</v>
      </c>
      <c r="AH45" s="14">
        <v>0</v>
      </c>
      <c r="AI45" s="14">
        <v>0</v>
      </c>
      <c r="AJ45" s="502">
        <f>SUM(AK45:AQ45)</f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</row>
    <row r="46" spans="1:43" ht="41.25" customHeight="1">
      <c r="A46" s="312" t="s">
        <v>746</v>
      </c>
      <c r="B46" s="461" t="s">
        <v>44</v>
      </c>
      <c r="C46" s="469">
        <v>225</v>
      </c>
      <c r="D46" s="308">
        <f aca="true" t="shared" si="67" ref="D46:D60">E46+F46+G46+H46+I46+J46+K46</f>
        <v>201600</v>
      </c>
      <c r="E46" s="24">
        <f t="shared" si="61"/>
        <v>93800</v>
      </c>
      <c r="F46" s="24">
        <f t="shared" si="62"/>
        <v>0</v>
      </c>
      <c r="G46" s="24">
        <f t="shared" si="47"/>
        <v>0</v>
      </c>
      <c r="H46" s="24">
        <f aca="true" t="shared" si="68" ref="H46:H51">P46+X46+AF46+AN46</f>
        <v>107800</v>
      </c>
      <c r="I46" s="24">
        <f t="shared" si="10"/>
        <v>0</v>
      </c>
      <c r="J46" s="24">
        <f t="shared" si="8"/>
        <v>0</v>
      </c>
      <c r="K46" s="24">
        <f t="shared" si="36"/>
        <v>0</v>
      </c>
      <c r="L46" s="502">
        <f aca="true" t="shared" si="69" ref="L46:L76">SUM(M46:S46)</f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502">
        <f aca="true" t="shared" si="70" ref="T46:T51">SUM(U46:AA46)</f>
        <v>201600</v>
      </c>
      <c r="U46" s="14">
        <v>93800</v>
      </c>
      <c r="V46" s="14">
        <v>0</v>
      </c>
      <c r="W46" s="14">
        <v>0</v>
      </c>
      <c r="X46" s="14">
        <f>120750+50-13000</f>
        <v>107800</v>
      </c>
      <c r="Y46" s="14">
        <v>0</v>
      </c>
      <c r="Z46" s="14">
        <v>0</v>
      </c>
      <c r="AA46" s="14">
        <v>0</v>
      </c>
      <c r="AB46" s="502">
        <f aca="true" t="shared" si="71" ref="AB46:AB76">SUM(AC46:AI46)</f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502">
        <f aca="true" t="shared" si="72" ref="AJ46:AJ76">SUM(AK46:AQ46)</f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</row>
    <row r="47" spans="1:43" ht="26.25" customHeight="1">
      <c r="A47" s="312" t="s">
        <v>747</v>
      </c>
      <c r="B47" s="461" t="s">
        <v>45</v>
      </c>
      <c r="C47" s="469">
        <v>225</v>
      </c>
      <c r="D47" s="308">
        <f t="shared" si="67"/>
        <v>230400</v>
      </c>
      <c r="E47" s="24">
        <f t="shared" si="61"/>
        <v>119900</v>
      </c>
      <c r="F47" s="24">
        <f t="shared" si="62"/>
        <v>0</v>
      </c>
      <c r="G47" s="24">
        <f t="shared" si="47"/>
        <v>0</v>
      </c>
      <c r="H47" s="24">
        <f t="shared" si="68"/>
        <v>110500</v>
      </c>
      <c r="I47" s="24">
        <f t="shared" si="10"/>
        <v>0</v>
      </c>
      <c r="J47" s="24">
        <f t="shared" si="8"/>
        <v>0</v>
      </c>
      <c r="K47" s="24">
        <f t="shared" si="36"/>
        <v>0</v>
      </c>
      <c r="L47" s="502">
        <f t="shared" si="69"/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502">
        <f t="shared" si="70"/>
        <v>88600</v>
      </c>
      <c r="U47" s="14">
        <f>57800-27100+6900</f>
        <v>37600</v>
      </c>
      <c r="V47" s="14">
        <v>0</v>
      </c>
      <c r="W47" s="14">
        <v>0</v>
      </c>
      <c r="X47" s="14">
        <f>59000-50000+13000+29000</f>
        <v>51000</v>
      </c>
      <c r="Y47" s="14">
        <v>0</v>
      </c>
      <c r="Z47" s="14">
        <v>0</v>
      </c>
      <c r="AA47" s="14">
        <v>0</v>
      </c>
      <c r="AB47" s="502">
        <f t="shared" si="71"/>
        <v>141800</v>
      </c>
      <c r="AC47" s="14">
        <f>62100+27100-6900</f>
        <v>82300</v>
      </c>
      <c r="AD47" s="14">
        <v>0</v>
      </c>
      <c r="AE47" s="14">
        <v>0</v>
      </c>
      <c r="AF47" s="14">
        <v>59500</v>
      </c>
      <c r="AG47" s="14">
        <v>0</v>
      </c>
      <c r="AH47" s="14">
        <v>0</v>
      </c>
      <c r="AI47" s="14">
        <v>0</v>
      </c>
      <c r="AJ47" s="502">
        <f t="shared" si="72"/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</row>
    <row r="48" spans="1:43" ht="21" customHeight="1">
      <c r="A48" s="312" t="s">
        <v>748</v>
      </c>
      <c r="B48" s="461" t="s">
        <v>1051</v>
      </c>
      <c r="C48" s="469">
        <v>225</v>
      </c>
      <c r="D48" s="308">
        <f t="shared" si="67"/>
        <v>440000</v>
      </c>
      <c r="E48" s="24">
        <f t="shared" si="61"/>
        <v>265000</v>
      </c>
      <c r="F48" s="24">
        <f t="shared" si="62"/>
        <v>0</v>
      </c>
      <c r="G48" s="24">
        <f t="shared" si="47"/>
        <v>0</v>
      </c>
      <c r="H48" s="24">
        <f t="shared" si="68"/>
        <v>175000</v>
      </c>
      <c r="I48" s="24">
        <f t="shared" si="10"/>
        <v>0</v>
      </c>
      <c r="J48" s="24">
        <f t="shared" si="8"/>
        <v>0</v>
      </c>
      <c r="K48" s="24">
        <f t="shared" si="36"/>
        <v>0</v>
      </c>
      <c r="L48" s="502">
        <f t="shared" si="69"/>
        <v>64000</v>
      </c>
      <c r="M48" s="14">
        <f>64500+35400-33600-2300</f>
        <v>64000</v>
      </c>
      <c r="N48" s="14">
        <v>0</v>
      </c>
      <c r="O48" s="14">
        <v>0</v>
      </c>
      <c r="P48" s="14">
        <f>25000+28000-20000-5000-15000-13000</f>
        <v>0</v>
      </c>
      <c r="Q48" s="14">
        <v>0</v>
      </c>
      <c r="R48" s="14">
        <v>0</v>
      </c>
      <c r="S48" s="14">
        <v>0</v>
      </c>
      <c r="T48" s="502">
        <f t="shared" si="70"/>
        <v>161100</v>
      </c>
      <c r="U48" s="14">
        <f>33600+2300+27100</f>
        <v>63000</v>
      </c>
      <c r="V48" s="14">
        <v>0</v>
      </c>
      <c r="W48" s="14">
        <v>0</v>
      </c>
      <c r="X48" s="14">
        <f>25100+41000+79000-47000</f>
        <v>98100</v>
      </c>
      <c r="Y48" s="14">
        <v>0</v>
      </c>
      <c r="Z48" s="14">
        <v>0</v>
      </c>
      <c r="AA48" s="14">
        <v>0</v>
      </c>
      <c r="AB48" s="502">
        <f t="shared" si="71"/>
        <v>116400</v>
      </c>
      <c r="AC48" s="14">
        <f>62000+31200-27100</f>
        <v>66100</v>
      </c>
      <c r="AD48" s="14">
        <v>0</v>
      </c>
      <c r="AE48" s="14">
        <v>0</v>
      </c>
      <c r="AF48" s="14">
        <f>25000+56600-31300</f>
        <v>50300</v>
      </c>
      <c r="AG48" s="14">
        <v>0</v>
      </c>
      <c r="AH48" s="14">
        <v>0</v>
      </c>
      <c r="AI48" s="14">
        <v>0</v>
      </c>
      <c r="AJ48" s="502">
        <f t="shared" si="72"/>
        <v>98500</v>
      </c>
      <c r="AK48" s="14">
        <f>49700+21100+1100</f>
        <v>71900</v>
      </c>
      <c r="AL48" s="14">
        <v>0</v>
      </c>
      <c r="AM48" s="14">
        <v>0</v>
      </c>
      <c r="AN48" s="14">
        <f>25000+2600-1000</f>
        <v>26600</v>
      </c>
      <c r="AO48" s="14">
        <v>0</v>
      </c>
      <c r="AP48" s="14">
        <v>0</v>
      </c>
      <c r="AQ48" s="14">
        <v>0</v>
      </c>
    </row>
    <row r="49" spans="1:43" ht="25.5" customHeight="1">
      <c r="A49" s="312" t="s">
        <v>749</v>
      </c>
      <c r="B49" s="461" t="s">
        <v>689</v>
      </c>
      <c r="C49" s="469">
        <v>225</v>
      </c>
      <c r="D49" s="308">
        <f t="shared" si="67"/>
        <v>17600</v>
      </c>
      <c r="E49" s="24">
        <f t="shared" si="61"/>
        <v>0</v>
      </c>
      <c r="F49" s="24">
        <f t="shared" si="62"/>
        <v>0</v>
      </c>
      <c r="G49" s="24">
        <f t="shared" si="47"/>
        <v>0</v>
      </c>
      <c r="H49" s="24">
        <f t="shared" si="68"/>
        <v>17600</v>
      </c>
      <c r="I49" s="24">
        <f t="shared" si="10"/>
        <v>0</v>
      </c>
      <c r="J49" s="24">
        <f t="shared" si="8"/>
        <v>0</v>
      </c>
      <c r="K49" s="24">
        <f t="shared" si="36"/>
        <v>0</v>
      </c>
      <c r="L49" s="502">
        <f t="shared" si="69"/>
        <v>4400</v>
      </c>
      <c r="M49" s="14">
        <v>0</v>
      </c>
      <c r="N49" s="14">
        <v>0</v>
      </c>
      <c r="O49" s="14">
        <v>0</v>
      </c>
      <c r="P49" s="14">
        <v>4400</v>
      </c>
      <c r="Q49" s="14">
        <v>0</v>
      </c>
      <c r="R49" s="14">
        <v>0</v>
      </c>
      <c r="S49" s="14">
        <v>0</v>
      </c>
      <c r="T49" s="502">
        <f t="shared" si="70"/>
        <v>4400</v>
      </c>
      <c r="U49" s="14">
        <v>0</v>
      </c>
      <c r="V49" s="14">
        <v>0</v>
      </c>
      <c r="W49" s="14">
        <v>0</v>
      </c>
      <c r="X49" s="14">
        <v>4400</v>
      </c>
      <c r="Y49" s="14">
        <v>0</v>
      </c>
      <c r="Z49" s="14">
        <v>0</v>
      </c>
      <c r="AA49" s="14">
        <v>0</v>
      </c>
      <c r="AB49" s="502">
        <f t="shared" si="71"/>
        <v>4400</v>
      </c>
      <c r="AC49" s="14">
        <v>0</v>
      </c>
      <c r="AD49" s="14">
        <v>0</v>
      </c>
      <c r="AE49" s="14">
        <v>0</v>
      </c>
      <c r="AF49" s="14">
        <v>4400</v>
      </c>
      <c r="AG49" s="14">
        <v>0</v>
      </c>
      <c r="AH49" s="14">
        <v>0</v>
      </c>
      <c r="AI49" s="14">
        <v>0</v>
      </c>
      <c r="AJ49" s="502">
        <f t="shared" si="72"/>
        <v>4400</v>
      </c>
      <c r="AK49" s="14">
        <v>0</v>
      </c>
      <c r="AL49" s="14">
        <v>0</v>
      </c>
      <c r="AM49" s="14">
        <v>0</v>
      </c>
      <c r="AN49" s="14">
        <v>4400</v>
      </c>
      <c r="AO49" s="14">
        <v>0</v>
      </c>
      <c r="AP49" s="14">
        <v>0</v>
      </c>
      <c r="AQ49" s="14">
        <v>0</v>
      </c>
    </row>
    <row r="50" spans="1:43" ht="27" customHeight="1">
      <c r="A50" s="312" t="s">
        <v>750</v>
      </c>
      <c r="B50" s="461" t="s">
        <v>47</v>
      </c>
      <c r="C50" s="469">
        <v>225</v>
      </c>
      <c r="D50" s="308">
        <f t="shared" si="67"/>
        <v>9000</v>
      </c>
      <c r="E50" s="24">
        <f t="shared" si="61"/>
        <v>0</v>
      </c>
      <c r="F50" s="24">
        <f t="shared" si="62"/>
        <v>0</v>
      </c>
      <c r="G50" s="24">
        <f t="shared" si="47"/>
        <v>0</v>
      </c>
      <c r="H50" s="24">
        <f t="shared" si="68"/>
        <v>9000</v>
      </c>
      <c r="I50" s="24">
        <f t="shared" si="10"/>
        <v>0</v>
      </c>
      <c r="J50" s="24">
        <f t="shared" si="8"/>
        <v>0</v>
      </c>
      <c r="K50" s="24">
        <f t="shared" si="36"/>
        <v>0</v>
      </c>
      <c r="L50" s="502">
        <f t="shared" si="69"/>
        <v>5500</v>
      </c>
      <c r="M50" s="14">
        <v>0</v>
      </c>
      <c r="N50" s="14">
        <v>0</v>
      </c>
      <c r="O50" s="14">
        <v>0</v>
      </c>
      <c r="P50" s="14">
        <f>500+5000</f>
        <v>5500</v>
      </c>
      <c r="Q50" s="14">
        <v>0</v>
      </c>
      <c r="R50" s="14">
        <v>0</v>
      </c>
      <c r="S50" s="14">
        <v>0</v>
      </c>
      <c r="T50" s="502">
        <f t="shared" si="70"/>
        <v>2500</v>
      </c>
      <c r="U50" s="14">
        <v>0</v>
      </c>
      <c r="V50" s="14">
        <v>0</v>
      </c>
      <c r="W50" s="14">
        <v>0</v>
      </c>
      <c r="X50" s="14">
        <v>2500</v>
      </c>
      <c r="Y50" s="14">
        <v>0</v>
      </c>
      <c r="Z50" s="14">
        <v>0</v>
      </c>
      <c r="AA50" s="14">
        <v>0</v>
      </c>
      <c r="AB50" s="502">
        <f t="shared" si="71"/>
        <v>500</v>
      </c>
      <c r="AC50" s="14">
        <f>31300-31300</f>
        <v>0</v>
      </c>
      <c r="AD50" s="14">
        <v>0</v>
      </c>
      <c r="AE50" s="14">
        <v>0</v>
      </c>
      <c r="AF50" s="14">
        <v>500</v>
      </c>
      <c r="AG50" s="14">
        <v>0</v>
      </c>
      <c r="AH50" s="14">
        <v>0</v>
      </c>
      <c r="AI50" s="14">
        <v>0</v>
      </c>
      <c r="AJ50" s="502">
        <f t="shared" si="72"/>
        <v>500</v>
      </c>
      <c r="AK50" s="14">
        <f>1000-1000</f>
        <v>0</v>
      </c>
      <c r="AL50" s="14">
        <v>0</v>
      </c>
      <c r="AM50" s="14">
        <v>0</v>
      </c>
      <c r="AN50" s="14">
        <v>500</v>
      </c>
      <c r="AO50" s="14">
        <v>0</v>
      </c>
      <c r="AP50" s="14">
        <v>0</v>
      </c>
      <c r="AQ50" s="14">
        <v>0</v>
      </c>
    </row>
    <row r="51" spans="1:43" ht="25.5" customHeight="1">
      <c r="A51" s="312" t="s">
        <v>751</v>
      </c>
      <c r="B51" s="461" t="s">
        <v>99</v>
      </c>
      <c r="C51" s="469">
        <v>225</v>
      </c>
      <c r="D51" s="308">
        <f t="shared" si="67"/>
        <v>62200</v>
      </c>
      <c r="E51" s="24">
        <f t="shared" si="61"/>
        <v>0</v>
      </c>
      <c r="F51" s="24">
        <f t="shared" si="62"/>
        <v>0</v>
      </c>
      <c r="G51" s="24">
        <f t="shared" si="47"/>
        <v>0</v>
      </c>
      <c r="H51" s="24">
        <f t="shared" si="68"/>
        <v>62200</v>
      </c>
      <c r="I51" s="24">
        <f t="shared" si="10"/>
        <v>0</v>
      </c>
      <c r="J51" s="24">
        <f t="shared" si="8"/>
        <v>0</v>
      </c>
      <c r="K51" s="24">
        <f t="shared" si="36"/>
        <v>0</v>
      </c>
      <c r="L51" s="502">
        <f t="shared" si="69"/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502">
        <f t="shared" si="70"/>
        <v>21000</v>
      </c>
      <c r="U51" s="14">
        <v>0</v>
      </c>
      <c r="V51" s="14">
        <v>0</v>
      </c>
      <c r="W51" s="14">
        <v>0</v>
      </c>
      <c r="X51" s="14">
        <f>50000-29000</f>
        <v>21000</v>
      </c>
      <c r="Y51" s="14">
        <v>0</v>
      </c>
      <c r="Z51" s="14">
        <v>0</v>
      </c>
      <c r="AA51" s="14">
        <v>0</v>
      </c>
      <c r="AB51" s="502">
        <f t="shared" si="71"/>
        <v>41200</v>
      </c>
      <c r="AC51" s="14">
        <v>0</v>
      </c>
      <c r="AD51" s="14">
        <v>0</v>
      </c>
      <c r="AE51" s="14">
        <v>0</v>
      </c>
      <c r="AF51" s="14">
        <v>41200</v>
      </c>
      <c r="AG51" s="14">
        <v>0</v>
      </c>
      <c r="AH51" s="14">
        <v>0</v>
      </c>
      <c r="AI51" s="14">
        <v>0</v>
      </c>
      <c r="AJ51" s="502">
        <f t="shared" si="72"/>
        <v>0</v>
      </c>
      <c r="AK51" s="14">
        <f>21100-21100</f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</row>
    <row r="52" spans="1:43" ht="21" customHeight="1">
      <c r="A52" s="312" t="s">
        <v>752</v>
      </c>
      <c r="B52" s="461" t="s">
        <v>49</v>
      </c>
      <c r="C52" s="469">
        <v>225</v>
      </c>
      <c r="D52" s="308">
        <f t="shared" si="67"/>
        <v>76000</v>
      </c>
      <c r="E52" s="24">
        <f t="shared" si="61"/>
        <v>0</v>
      </c>
      <c r="F52" s="24">
        <f t="shared" si="62"/>
        <v>0</v>
      </c>
      <c r="G52" s="24">
        <f t="shared" si="47"/>
        <v>0</v>
      </c>
      <c r="H52" s="24">
        <f aca="true" t="shared" si="73" ref="H52:H78">P52+X52+AF52+AN52</f>
        <v>76000</v>
      </c>
      <c r="I52" s="24">
        <f t="shared" si="10"/>
        <v>0</v>
      </c>
      <c r="J52" s="24">
        <f t="shared" si="8"/>
        <v>0</v>
      </c>
      <c r="K52" s="24">
        <f t="shared" si="36"/>
        <v>0</v>
      </c>
      <c r="L52" s="502">
        <f t="shared" si="69"/>
        <v>23000</v>
      </c>
      <c r="M52" s="14">
        <v>0</v>
      </c>
      <c r="N52" s="14">
        <v>0</v>
      </c>
      <c r="O52" s="14">
        <v>0</v>
      </c>
      <c r="P52" s="14">
        <f>50000-27000</f>
        <v>23000</v>
      </c>
      <c r="Q52" s="14">
        <v>0</v>
      </c>
      <c r="R52" s="14">
        <v>0</v>
      </c>
      <c r="S52" s="14">
        <v>0</v>
      </c>
      <c r="T52" s="502">
        <f aca="true" t="shared" si="74" ref="T52:T67">SUM(U52:AA52)</f>
        <v>0</v>
      </c>
      <c r="U52" s="14">
        <v>0</v>
      </c>
      <c r="V52" s="14">
        <v>0</v>
      </c>
      <c r="W52" s="14">
        <v>0</v>
      </c>
      <c r="X52" s="14">
        <f>23800-7100+27000-43700</f>
        <v>0</v>
      </c>
      <c r="Y52" s="14">
        <v>0</v>
      </c>
      <c r="Z52" s="14">
        <v>0</v>
      </c>
      <c r="AA52" s="14">
        <v>0</v>
      </c>
      <c r="AB52" s="502">
        <f t="shared" si="71"/>
        <v>53000</v>
      </c>
      <c r="AC52" s="14">
        <v>0</v>
      </c>
      <c r="AD52" s="14">
        <v>0</v>
      </c>
      <c r="AE52" s="14">
        <v>0</v>
      </c>
      <c r="AF52" s="14">
        <v>53000</v>
      </c>
      <c r="AG52" s="14">
        <v>0</v>
      </c>
      <c r="AH52" s="14">
        <v>0</v>
      </c>
      <c r="AI52" s="14">
        <v>0</v>
      </c>
      <c r="AJ52" s="502">
        <f t="shared" si="72"/>
        <v>0</v>
      </c>
      <c r="AK52" s="14">
        <v>0</v>
      </c>
      <c r="AL52" s="14">
        <v>0</v>
      </c>
      <c r="AM52" s="14">
        <v>0</v>
      </c>
      <c r="AN52" s="14">
        <f>49600-49600</f>
        <v>0</v>
      </c>
      <c r="AO52" s="14">
        <v>0</v>
      </c>
      <c r="AP52" s="14">
        <v>0</v>
      </c>
      <c r="AQ52" s="14">
        <v>0</v>
      </c>
    </row>
    <row r="53" spans="1:43" ht="36.75" customHeight="1">
      <c r="A53" s="312" t="s">
        <v>753</v>
      </c>
      <c r="B53" s="506" t="s">
        <v>50</v>
      </c>
      <c r="C53" s="469">
        <v>225</v>
      </c>
      <c r="D53" s="308">
        <f t="shared" si="67"/>
        <v>40000</v>
      </c>
      <c r="E53" s="24">
        <f t="shared" si="61"/>
        <v>0</v>
      </c>
      <c r="F53" s="24">
        <f t="shared" si="62"/>
        <v>0</v>
      </c>
      <c r="G53" s="24">
        <f t="shared" si="47"/>
        <v>0</v>
      </c>
      <c r="H53" s="24">
        <f t="shared" si="73"/>
        <v>40000</v>
      </c>
      <c r="I53" s="24">
        <f t="shared" si="10"/>
        <v>0</v>
      </c>
      <c r="J53" s="24">
        <f t="shared" si="8"/>
        <v>0</v>
      </c>
      <c r="K53" s="24">
        <f t="shared" si="36"/>
        <v>0</v>
      </c>
      <c r="L53" s="502">
        <f t="shared" si="69"/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502">
        <f t="shared" si="74"/>
        <v>40000</v>
      </c>
      <c r="U53" s="14">
        <v>0</v>
      </c>
      <c r="V53" s="14">
        <v>0</v>
      </c>
      <c r="W53" s="14">
        <v>0</v>
      </c>
      <c r="X53" s="14">
        <v>40000</v>
      </c>
      <c r="Y53" s="14">
        <v>0</v>
      </c>
      <c r="Z53" s="14">
        <v>0</v>
      </c>
      <c r="AA53" s="14">
        <v>0</v>
      </c>
      <c r="AB53" s="502">
        <f t="shared" si="71"/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502">
        <f t="shared" si="72"/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</row>
    <row r="54" spans="1:43" ht="37.5" customHeight="1">
      <c r="A54" s="312" t="s">
        <v>754</v>
      </c>
      <c r="B54" s="506" t="s">
        <v>51</v>
      </c>
      <c r="C54" s="469">
        <v>225</v>
      </c>
      <c r="D54" s="308">
        <f t="shared" si="67"/>
        <v>1400</v>
      </c>
      <c r="E54" s="24">
        <f t="shared" si="61"/>
        <v>0</v>
      </c>
      <c r="F54" s="24">
        <f t="shared" si="62"/>
        <v>0</v>
      </c>
      <c r="G54" s="24">
        <f t="shared" si="47"/>
        <v>0</v>
      </c>
      <c r="H54" s="24">
        <f t="shared" si="73"/>
        <v>1400</v>
      </c>
      <c r="I54" s="24">
        <f t="shared" si="10"/>
        <v>0</v>
      </c>
      <c r="J54" s="24">
        <f t="shared" si="8"/>
        <v>0</v>
      </c>
      <c r="K54" s="24">
        <f t="shared" si="36"/>
        <v>0</v>
      </c>
      <c r="L54" s="502">
        <f t="shared" si="69"/>
        <v>350</v>
      </c>
      <c r="M54" s="14">
        <v>0</v>
      </c>
      <c r="N54" s="14">
        <v>0</v>
      </c>
      <c r="O54" s="14">
        <v>0</v>
      </c>
      <c r="P54" s="14">
        <v>350</v>
      </c>
      <c r="Q54" s="14">
        <v>0</v>
      </c>
      <c r="R54" s="14">
        <v>0</v>
      </c>
      <c r="S54" s="14">
        <v>0</v>
      </c>
      <c r="T54" s="502">
        <f t="shared" si="74"/>
        <v>350</v>
      </c>
      <c r="U54" s="14">
        <v>0</v>
      </c>
      <c r="V54" s="14">
        <v>0</v>
      </c>
      <c r="W54" s="14">
        <v>0</v>
      </c>
      <c r="X54" s="14">
        <v>350</v>
      </c>
      <c r="Y54" s="14">
        <v>0</v>
      </c>
      <c r="Z54" s="14">
        <v>0</v>
      </c>
      <c r="AA54" s="14">
        <v>0</v>
      </c>
      <c r="AB54" s="502">
        <f t="shared" si="71"/>
        <v>350</v>
      </c>
      <c r="AC54" s="14">
        <v>0</v>
      </c>
      <c r="AD54" s="14">
        <v>0</v>
      </c>
      <c r="AE54" s="14">
        <v>0</v>
      </c>
      <c r="AF54" s="14">
        <v>350</v>
      </c>
      <c r="AG54" s="14">
        <v>0</v>
      </c>
      <c r="AH54" s="14">
        <v>0</v>
      </c>
      <c r="AI54" s="14">
        <v>0</v>
      </c>
      <c r="AJ54" s="502">
        <f t="shared" si="72"/>
        <v>350</v>
      </c>
      <c r="AK54" s="14">
        <v>0</v>
      </c>
      <c r="AL54" s="14">
        <v>0</v>
      </c>
      <c r="AM54" s="14">
        <v>0</v>
      </c>
      <c r="AN54" s="14">
        <v>350</v>
      </c>
      <c r="AO54" s="14">
        <v>0</v>
      </c>
      <c r="AP54" s="14">
        <v>0</v>
      </c>
      <c r="AQ54" s="14">
        <v>0</v>
      </c>
    </row>
    <row r="55" spans="1:43" ht="33.75" customHeight="1">
      <c r="A55" s="312" t="s">
        <v>755</v>
      </c>
      <c r="B55" s="524" t="s">
        <v>55</v>
      </c>
      <c r="C55" s="469">
        <v>225</v>
      </c>
      <c r="D55" s="308">
        <f t="shared" si="67"/>
        <v>15000</v>
      </c>
      <c r="E55" s="24">
        <f t="shared" si="61"/>
        <v>0</v>
      </c>
      <c r="F55" s="24">
        <f t="shared" si="62"/>
        <v>0</v>
      </c>
      <c r="G55" s="24">
        <f t="shared" si="47"/>
        <v>0</v>
      </c>
      <c r="H55" s="24">
        <f t="shared" si="73"/>
        <v>15000</v>
      </c>
      <c r="I55" s="24">
        <f t="shared" si="10"/>
        <v>0</v>
      </c>
      <c r="J55" s="24">
        <f>R55+Z55+AH55+AP55</f>
        <v>0</v>
      </c>
      <c r="K55" s="24">
        <f t="shared" si="36"/>
        <v>0</v>
      </c>
      <c r="L55" s="502">
        <f t="shared" si="69"/>
        <v>7500</v>
      </c>
      <c r="M55" s="14">
        <v>0</v>
      </c>
      <c r="N55" s="14">
        <v>0</v>
      </c>
      <c r="O55" s="14">
        <v>0</v>
      </c>
      <c r="P55" s="14">
        <v>7500</v>
      </c>
      <c r="Q55" s="14">
        <v>0</v>
      </c>
      <c r="R55" s="14">
        <v>0</v>
      </c>
      <c r="S55" s="14">
        <v>0</v>
      </c>
      <c r="T55" s="502">
        <f t="shared" si="74"/>
        <v>7500</v>
      </c>
      <c r="U55" s="14">
        <v>0</v>
      </c>
      <c r="V55" s="14">
        <v>0</v>
      </c>
      <c r="W55" s="14">
        <v>0</v>
      </c>
      <c r="X55" s="14">
        <v>7500</v>
      </c>
      <c r="Y55" s="14">
        <v>0</v>
      </c>
      <c r="Z55" s="14">
        <v>0</v>
      </c>
      <c r="AA55" s="14">
        <v>0</v>
      </c>
      <c r="AB55" s="502">
        <f t="shared" si="71"/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502">
        <f t="shared" si="72"/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</row>
    <row r="56" spans="1:43" ht="35.25" customHeight="1">
      <c r="A56" s="312" t="s">
        <v>756</v>
      </c>
      <c r="B56" s="506" t="s">
        <v>833</v>
      </c>
      <c r="C56" s="469">
        <v>225</v>
      </c>
      <c r="D56" s="308">
        <f t="shared" si="67"/>
        <v>14000</v>
      </c>
      <c r="E56" s="24">
        <f t="shared" si="61"/>
        <v>0</v>
      </c>
      <c r="F56" s="24">
        <f t="shared" si="62"/>
        <v>0</v>
      </c>
      <c r="G56" s="24">
        <f>O56+W56+AE56+AM56</f>
        <v>0</v>
      </c>
      <c r="H56" s="24">
        <f t="shared" si="73"/>
        <v>14000</v>
      </c>
      <c r="I56" s="24">
        <f t="shared" si="10"/>
        <v>0</v>
      </c>
      <c r="J56" s="24">
        <f t="shared" si="8"/>
        <v>0</v>
      </c>
      <c r="K56" s="24">
        <f t="shared" si="36"/>
        <v>0</v>
      </c>
      <c r="L56" s="502">
        <f t="shared" si="69"/>
        <v>3500</v>
      </c>
      <c r="M56" s="14">
        <v>0</v>
      </c>
      <c r="N56" s="14">
        <v>0</v>
      </c>
      <c r="O56" s="14">
        <v>0</v>
      </c>
      <c r="P56" s="14">
        <v>3500</v>
      </c>
      <c r="Q56" s="14">
        <v>0</v>
      </c>
      <c r="R56" s="14">
        <v>0</v>
      </c>
      <c r="S56" s="14">
        <v>0</v>
      </c>
      <c r="T56" s="502">
        <f t="shared" si="74"/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502">
        <f t="shared" si="71"/>
        <v>7000</v>
      </c>
      <c r="AC56" s="14">
        <v>0</v>
      </c>
      <c r="AD56" s="14">
        <v>0</v>
      </c>
      <c r="AE56" s="14">
        <v>0</v>
      </c>
      <c r="AF56" s="14">
        <v>7000</v>
      </c>
      <c r="AG56" s="14">
        <v>0</v>
      </c>
      <c r="AH56" s="14">
        <v>0</v>
      </c>
      <c r="AI56" s="14">
        <v>0</v>
      </c>
      <c r="AJ56" s="502">
        <f t="shared" si="72"/>
        <v>3500</v>
      </c>
      <c r="AK56" s="14">
        <f>7500-7500</f>
        <v>0</v>
      </c>
      <c r="AL56" s="14">
        <v>0</v>
      </c>
      <c r="AM56" s="14">
        <v>0</v>
      </c>
      <c r="AN56" s="14">
        <v>3500</v>
      </c>
      <c r="AO56" s="14">
        <v>0</v>
      </c>
      <c r="AP56" s="14">
        <v>0</v>
      </c>
      <c r="AQ56" s="14">
        <v>0</v>
      </c>
    </row>
    <row r="57" spans="1:43" ht="21" customHeight="1">
      <c r="A57" s="312" t="s">
        <v>757</v>
      </c>
      <c r="B57" s="506" t="s">
        <v>53</v>
      </c>
      <c r="C57" s="469">
        <v>225</v>
      </c>
      <c r="D57" s="308">
        <f t="shared" si="67"/>
        <v>23000</v>
      </c>
      <c r="E57" s="24">
        <f t="shared" si="61"/>
        <v>7000</v>
      </c>
      <c r="F57" s="24">
        <f t="shared" si="62"/>
        <v>0</v>
      </c>
      <c r="G57" s="24">
        <f aca="true" t="shared" si="75" ref="G57:G68">O57+W57+AE57+AM57</f>
        <v>0</v>
      </c>
      <c r="H57" s="24">
        <f t="shared" si="73"/>
        <v>16000</v>
      </c>
      <c r="I57" s="24">
        <f t="shared" si="10"/>
        <v>0</v>
      </c>
      <c r="J57" s="24">
        <f t="shared" si="8"/>
        <v>0</v>
      </c>
      <c r="K57" s="24">
        <f t="shared" si="36"/>
        <v>0</v>
      </c>
      <c r="L57" s="502">
        <f t="shared" si="69"/>
        <v>6000</v>
      </c>
      <c r="M57" s="14">
        <v>0</v>
      </c>
      <c r="N57" s="14">
        <v>0</v>
      </c>
      <c r="O57" s="14">
        <v>0</v>
      </c>
      <c r="P57" s="14">
        <v>6000</v>
      </c>
      <c r="Q57" s="14">
        <v>0</v>
      </c>
      <c r="R57" s="14">
        <v>0</v>
      </c>
      <c r="S57" s="14">
        <v>0</v>
      </c>
      <c r="T57" s="502">
        <f t="shared" si="74"/>
        <v>6000</v>
      </c>
      <c r="U57" s="14">
        <v>0</v>
      </c>
      <c r="V57" s="14">
        <v>0</v>
      </c>
      <c r="W57" s="14">
        <v>0</v>
      </c>
      <c r="X57" s="14">
        <v>6000</v>
      </c>
      <c r="Y57" s="14">
        <v>0</v>
      </c>
      <c r="Z57" s="14">
        <v>0</v>
      </c>
      <c r="AA57" s="14">
        <v>0</v>
      </c>
      <c r="AB57" s="502">
        <f t="shared" si="71"/>
        <v>4000</v>
      </c>
      <c r="AC57" s="14">
        <v>0</v>
      </c>
      <c r="AD57" s="14">
        <v>0</v>
      </c>
      <c r="AE57" s="14">
        <v>0</v>
      </c>
      <c r="AF57" s="14">
        <v>4000</v>
      </c>
      <c r="AG57" s="14">
        <v>0</v>
      </c>
      <c r="AH57" s="14">
        <v>0</v>
      </c>
      <c r="AI57" s="14">
        <v>0</v>
      </c>
      <c r="AJ57" s="502">
        <f t="shared" si="72"/>
        <v>7000</v>
      </c>
      <c r="AK57" s="14">
        <v>7000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</row>
    <row r="58" spans="1:43" ht="26.25" customHeight="1">
      <c r="A58" s="312" t="s">
        <v>758</v>
      </c>
      <c r="B58" s="506" t="s">
        <v>699</v>
      </c>
      <c r="C58" s="469">
        <v>225</v>
      </c>
      <c r="D58" s="308">
        <f t="shared" si="67"/>
        <v>41100</v>
      </c>
      <c r="E58" s="24">
        <f t="shared" si="61"/>
        <v>7500</v>
      </c>
      <c r="F58" s="24">
        <f t="shared" si="62"/>
        <v>0</v>
      </c>
      <c r="G58" s="24">
        <f t="shared" si="75"/>
        <v>0</v>
      </c>
      <c r="H58" s="24">
        <f t="shared" si="73"/>
        <v>33600</v>
      </c>
      <c r="I58" s="24">
        <f t="shared" si="10"/>
        <v>0</v>
      </c>
      <c r="J58" s="24">
        <f t="shared" si="8"/>
        <v>0</v>
      </c>
      <c r="K58" s="24">
        <f t="shared" si="36"/>
        <v>0</v>
      </c>
      <c r="L58" s="502">
        <f t="shared" si="69"/>
        <v>10300</v>
      </c>
      <c r="M58" s="14">
        <v>0</v>
      </c>
      <c r="N58" s="14">
        <v>0</v>
      </c>
      <c r="O58" s="14">
        <v>0</v>
      </c>
      <c r="P58" s="14">
        <v>10300</v>
      </c>
      <c r="Q58" s="14">
        <v>0</v>
      </c>
      <c r="R58" s="14">
        <v>0</v>
      </c>
      <c r="S58" s="14">
        <v>0</v>
      </c>
      <c r="T58" s="502">
        <f t="shared" si="74"/>
        <v>10300</v>
      </c>
      <c r="U58" s="14">
        <v>0</v>
      </c>
      <c r="V58" s="14">
        <v>0</v>
      </c>
      <c r="W58" s="14">
        <v>0</v>
      </c>
      <c r="X58" s="14">
        <v>10300</v>
      </c>
      <c r="Y58" s="14">
        <v>0</v>
      </c>
      <c r="Z58" s="14">
        <v>0</v>
      </c>
      <c r="AA58" s="14">
        <v>0</v>
      </c>
      <c r="AB58" s="502">
        <f t="shared" si="71"/>
        <v>10300</v>
      </c>
      <c r="AC58" s="14">
        <v>0</v>
      </c>
      <c r="AD58" s="14">
        <v>0</v>
      </c>
      <c r="AE58" s="14">
        <v>0</v>
      </c>
      <c r="AF58" s="14">
        <v>10300</v>
      </c>
      <c r="AG58" s="14">
        <v>0</v>
      </c>
      <c r="AH58" s="14">
        <v>0</v>
      </c>
      <c r="AI58" s="14">
        <v>0</v>
      </c>
      <c r="AJ58" s="502">
        <f t="shared" si="72"/>
        <v>10200</v>
      </c>
      <c r="AK58" s="14">
        <v>7500</v>
      </c>
      <c r="AL58" s="14">
        <v>0</v>
      </c>
      <c r="AM58" s="14">
        <v>0</v>
      </c>
      <c r="AN58" s="14">
        <f>10200-7500</f>
        <v>2700</v>
      </c>
      <c r="AO58" s="14">
        <v>0</v>
      </c>
      <c r="AP58" s="14">
        <v>0</v>
      </c>
      <c r="AQ58" s="14">
        <v>0</v>
      </c>
    </row>
    <row r="59" spans="1:43" ht="22.5" customHeight="1">
      <c r="A59" s="312" t="s">
        <v>759</v>
      </c>
      <c r="B59" s="524" t="s">
        <v>671</v>
      </c>
      <c r="C59" s="469">
        <v>225</v>
      </c>
      <c r="D59" s="308">
        <f t="shared" si="67"/>
        <v>15000</v>
      </c>
      <c r="E59" s="24">
        <f t="shared" si="61"/>
        <v>0</v>
      </c>
      <c r="F59" s="24">
        <f t="shared" si="62"/>
        <v>0</v>
      </c>
      <c r="G59" s="24">
        <f t="shared" si="75"/>
        <v>0</v>
      </c>
      <c r="H59" s="24">
        <f t="shared" si="73"/>
        <v>15000</v>
      </c>
      <c r="I59" s="24">
        <f t="shared" si="10"/>
        <v>0</v>
      </c>
      <c r="J59" s="24">
        <f t="shared" si="8"/>
        <v>0</v>
      </c>
      <c r="K59" s="24">
        <f t="shared" si="36"/>
        <v>0</v>
      </c>
      <c r="L59" s="502">
        <f t="shared" si="69"/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502">
        <f t="shared" si="74"/>
        <v>7500</v>
      </c>
      <c r="U59" s="14">
        <v>0</v>
      </c>
      <c r="V59" s="14">
        <v>0</v>
      </c>
      <c r="W59" s="14">
        <v>0</v>
      </c>
      <c r="X59" s="14">
        <v>7500</v>
      </c>
      <c r="Y59" s="14">
        <v>0</v>
      </c>
      <c r="Z59" s="14">
        <v>0</v>
      </c>
      <c r="AA59" s="14">
        <v>0</v>
      </c>
      <c r="AB59" s="502">
        <f t="shared" si="71"/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502">
        <f t="shared" si="72"/>
        <v>7500</v>
      </c>
      <c r="AK59" s="14">
        <v>0</v>
      </c>
      <c r="AL59" s="14">
        <v>0</v>
      </c>
      <c r="AM59" s="14">
        <v>0</v>
      </c>
      <c r="AN59" s="14">
        <v>7500</v>
      </c>
      <c r="AO59" s="14">
        <v>0</v>
      </c>
      <c r="AP59" s="14">
        <v>0</v>
      </c>
      <c r="AQ59" s="14">
        <v>0</v>
      </c>
    </row>
    <row r="60" spans="1:43" ht="33.75" customHeight="1">
      <c r="A60" s="312" t="s">
        <v>760</v>
      </c>
      <c r="B60" s="506" t="s">
        <v>56</v>
      </c>
      <c r="C60" s="469">
        <v>225</v>
      </c>
      <c r="D60" s="308">
        <f t="shared" si="67"/>
        <v>34900</v>
      </c>
      <c r="E60" s="24">
        <f t="shared" si="61"/>
        <v>0</v>
      </c>
      <c r="F60" s="24">
        <f t="shared" si="62"/>
        <v>0</v>
      </c>
      <c r="G60" s="24">
        <f t="shared" si="75"/>
        <v>0</v>
      </c>
      <c r="H60" s="24">
        <f t="shared" si="73"/>
        <v>34900</v>
      </c>
      <c r="I60" s="24">
        <f t="shared" si="10"/>
        <v>0</v>
      </c>
      <c r="J60" s="24">
        <f t="shared" si="8"/>
        <v>0</v>
      </c>
      <c r="K60" s="24">
        <f t="shared" si="36"/>
        <v>0</v>
      </c>
      <c r="L60" s="502">
        <f t="shared" si="69"/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502">
        <f t="shared" si="74"/>
        <v>34900</v>
      </c>
      <c r="U60" s="14">
        <v>0</v>
      </c>
      <c r="V60" s="14">
        <v>0</v>
      </c>
      <c r="W60" s="14">
        <v>0</v>
      </c>
      <c r="X60" s="14">
        <f>54900-20000</f>
        <v>34900</v>
      </c>
      <c r="Y60" s="14">
        <v>0</v>
      </c>
      <c r="Z60" s="14">
        <v>0</v>
      </c>
      <c r="AA60" s="14">
        <v>0</v>
      </c>
      <c r="AB60" s="502">
        <f t="shared" si="71"/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502">
        <f t="shared" si="72"/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</row>
    <row r="61" spans="1:43" ht="36.75" customHeight="1">
      <c r="A61" s="312" t="s">
        <v>761</v>
      </c>
      <c r="B61" s="506" t="s">
        <v>68</v>
      </c>
      <c r="C61" s="462">
        <v>225</v>
      </c>
      <c r="D61" s="308">
        <f>E61+G61+H61+I61+J61+K61</f>
        <v>13800</v>
      </c>
      <c r="E61" s="24">
        <f aca="true" t="shared" si="76" ref="E61:F63">M61+U61+AC61+AK61</f>
        <v>0</v>
      </c>
      <c r="F61" s="24">
        <f t="shared" si="76"/>
        <v>0</v>
      </c>
      <c r="G61" s="24">
        <f t="shared" si="75"/>
        <v>0</v>
      </c>
      <c r="H61" s="24">
        <f aca="true" t="shared" si="77" ref="H61:J63">P61+X61+AF61+AN61</f>
        <v>13800</v>
      </c>
      <c r="I61" s="24">
        <f t="shared" si="77"/>
        <v>0</v>
      </c>
      <c r="J61" s="24">
        <f t="shared" si="77"/>
        <v>0</v>
      </c>
      <c r="K61" s="24">
        <f t="shared" si="36"/>
        <v>0</v>
      </c>
      <c r="L61" s="502">
        <f>SUM(M61:S61)</f>
        <v>3450</v>
      </c>
      <c r="M61" s="16">
        <f>5550-5550</f>
        <v>0</v>
      </c>
      <c r="N61" s="14">
        <v>0</v>
      </c>
      <c r="O61" s="14">
        <v>0</v>
      </c>
      <c r="P61" s="14">
        <v>3450</v>
      </c>
      <c r="Q61" s="14">
        <v>0</v>
      </c>
      <c r="R61" s="14">
        <v>0</v>
      </c>
      <c r="S61" s="14">
        <v>0</v>
      </c>
      <c r="T61" s="502">
        <f t="shared" si="74"/>
        <v>3450</v>
      </c>
      <c r="U61" s="14">
        <v>0</v>
      </c>
      <c r="V61" s="14">
        <v>0</v>
      </c>
      <c r="W61" s="14">
        <v>0</v>
      </c>
      <c r="X61" s="14">
        <v>3450</v>
      </c>
      <c r="Y61" s="14">
        <v>0</v>
      </c>
      <c r="Z61" s="14">
        <v>0</v>
      </c>
      <c r="AA61" s="14">
        <v>0</v>
      </c>
      <c r="AB61" s="502">
        <f>SUM(AC61:AI61)</f>
        <v>3450</v>
      </c>
      <c r="AC61" s="14">
        <v>0</v>
      </c>
      <c r="AD61" s="14">
        <v>0</v>
      </c>
      <c r="AE61" s="14">
        <v>0</v>
      </c>
      <c r="AF61" s="14">
        <v>3450</v>
      </c>
      <c r="AG61" s="14">
        <v>0</v>
      </c>
      <c r="AH61" s="14">
        <v>0</v>
      </c>
      <c r="AI61" s="14">
        <v>0</v>
      </c>
      <c r="AJ61" s="502">
        <f>SUM(AK61:AQ61)</f>
        <v>3450</v>
      </c>
      <c r="AK61" s="14">
        <v>0</v>
      </c>
      <c r="AL61" s="14">
        <v>0</v>
      </c>
      <c r="AM61" s="14">
        <v>0</v>
      </c>
      <c r="AN61" s="14">
        <v>3450</v>
      </c>
      <c r="AO61" s="14">
        <v>0</v>
      </c>
      <c r="AP61" s="14">
        <v>0</v>
      </c>
      <c r="AQ61" s="14">
        <v>0</v>
      </c>
    </row>
    <row r="62" spans="1:43" ht="32.25" customHeight="1">
      <c r="A62" s="312" t="s">
        <v>762</v>
      </c>
      <c r="B62" s="506" t="s">
        <v>695</v>
      </c>
      <c r="C62" s="469">
        <v>225</v>
      </c>
      <c r="D62" s="308">
        <f>E62+F62+G62+H62+I62+J62+K62</f>
        <v>10800</v>
      </c>
      <c r="E62" s="24">
        <f t="shared" si="76"/>
        <v>0</v>
      </c>
      <c r="F62" s="24">
        <f t="shared" si="76"/>
        <v>0</v>
      </c>
      <c r="G62" s="24">
        <f>O62+W62+AE62+AM62</f>
        <v>0</v>
      </c>
      <c r="H62" s="24">
        <f t="shared" si="77"/>
        <v>10800</v>
      </c>
      <c r="I62" s="24">
        <f t="shared" si="77"/>
        <v>0</v>
      </c>
      <c r="J62" s="24">
        <f t="shared" si="77"/>
        <v>0</v>
      </c>
      <c r="K62" s="24">
        <f t="shared" si="36"/>
        <v>0</v>
      </c>
      <c r="L62" s="502">
        <f>SUM(M62:S62)</f>
        <v>5400</v>
      </c>
      <c r="M62" s="14">
        <v>0</v>
      </c>
      <c r="N62" s="14">
        <v>0</v>
      </c>
      <c r="O62" s="14">
        <v>0</v>
      </c>
      <c r="P62" s="14">
        <v>5400</v>
      </c>
      <c r="Q62" s="14">
        <v>0</v>
      </c>
      <c r="R62" s="14">
        <v>0</v>
      </c>
      <c r="S62" s="14">
        <v>0</v>
      </c>
      <c r="T62" s="502">
        <f t="shared" si="74"/>
        <v>0</v>
      </c>
      <c r="U62" s="14">
        <v>0</v>
      </c>
      <c r="V62" s="14">
        <v>0</v>
      </c>
      <c r="W62" s="14">
        <v>0</v>
      </c>
      <c r="X62" s="14">
        <f>5400-5400</f>
        <v>0</v>
      </c>
      <c r="Y62" s="14">
        <v>0</v>
      </c>
      <c r="Z62" s="14">
        <v>0</v>
      </c>
      <c r="AA62" s="14">
        <v>0</v>
      </c>
      <c r="AB62" s="502">
        <f>SUM(AC62:AI62)</f>
        <v>0</v>
      </c>
      <c r="AC62" s="14">
        <v>0</v>
      </c>
      <c r="AD62" s="14">
        <v>0</v>
      </c>
      <c r="AE62" s="14">
        <v>0</v>
      </c>
      <c r="AF62" s="14">
        <f>5400-5400</f>
        <v>0</v>
      </c>
      <c r="AG62" s="14">
        <v>0</v>
      </c>
      <c r="AH62" s="14">
        <v>0</v>
      </c>
      <c r="AI62" s="14">
        <v>0</v>
      </c>
      <c r="AJ62" s="502">
        <f>SUM(AK62:AQ62)</f>
        <v>5400</v>
      </c>
      <c r="AK62" s="14">
        <v>0</v>
      </c>
      <c r="AL62" s="14">
        <v>0</v>
      </c>
      <c r="AM62" s="14">
        <v>0</v>
      </c>
      <c r="AN62" s="14">
        <v>5400</v>
      </c>
      <c r="AO62" s="14">
        <v>0</v>
      </c>
      <c r="AP62" s="14">
        <v>0</v>
      </c>
      <c r="AQ62" s="14">
        <v>0</v>
      </c>
    </row>
    <row r="63" spans="1:43" ht="32.25" customHeight="1">
      <c r="A63" s="312" t="s">
        <v>933</v>
      </c>
      <c r="B63" s="506" t="s">
        <v>934</v>
      </c>
      <c r="C63" s="469">
        <v>225</v>
      </c>
      <c r="D63" s="308">
        <f>E63+F63+G63+H63+I63+J63+K63</f>
        <v>80000</v>
      </c>
      <c r="E63" s="24">
        <f t="shared" si="76"/>
        <v>0</v>
      </c>
      <c r="F63" s="24">
        <f t="shared" si="76"/>
        <v>0</v>
      </c>
      <c r="G63" s="24">
        <f>O63+W63+AE63+AM63</f>
        <v>0</v>
      </c>
      <c r="H63" s="24">
        <f t="shared" si="77"/>
        <v>80000</v>
      </c>
      <c r="I63" s="24">
        <f t="shared" si="77"/>
        <v>0</v>
      </c>
      <c r="J63" s="24">
        <f t="shared" si="77"/>
        <v>0</v>
      </c>
      <c r="K63" s="24">
        <f t="shared" si="36"/>
        <v>0</v>
      </c>
      <c r="L63" s="502">
        <f>SUM(M63:S63)</f>
        <v>60000</v>
      </c>
      <c r="M63" s="14">
        <v>0</v>
      </c>
      <c r="N63" s="14">
        <v>0</v>
      </c>
      <c r="O63" s="14">
        <v>0</v>
      </c>
      <c r="P63" s="14">
        <f>20000+40000</f>
        <v>60000</v>
      </c>
      <c r="Q63" s="14">
        <v>0</v>
      </c>
      <c r="R63" s="14">
        <v>0</v>
      </c>
      <c r="S63" s="14">
        <v>0</v>
      </c>
      <c r="T63" s="502">
        <f t="shared" si="74"/>
        <v>20000</v>
      </c>
      <c r="U63" s="14">
        <v>0</v>
      </c>
      <c r="V63" s="14">
        <v>0</v>
      </c>
      <c r="W63" s="14">
        <v>0</v>
      </c>
      <c r="X63" s="14">
        <v>20000</v>
      </c>
      <c r="Y63" s="14">
        <v>0</v>
      </c>
      <c r="Z63" s="14">
        <v>0</v>
      </c>
      <c r="AA63" s="14">
        <v>0</v>
      </c>
      <c r="AB63" s="502">
        <f>SUM(AC63:AI63)</f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502">
        <f>SUM(AK63:AQ63)</f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</row>
    <row r="64" spans="1:43" ht="32.25" customHeight="1">
      <c r="A64" s="312" t="s">
        <v>984</v>
      </c>
      <c r="B64" s="506" t="s">
        <v>981</v>
      </c>
      <c r="C64" s="462">
        <v>225</v>
      </c>
      <c r="D64" s="308">
        <f>E64+G64+H64+I64+J64+K64</f>
        <v>12900</v>
      </c>
      <c r="E64" s="24">
        <f aca="true" t="shared" si="78" ref="E64:F66">M64+U64+AC64+AK64</f>
        <v>0</v>
      </c>
      <c r="F64" s="24">
        <f t="shared" si="78"/>
        <v>0</v>
      </c>
      <c r="G64" s="24">
        <f>O64+W64+AE64+AM64</f>
        <v>0</v>
      </c>
      <c r="H64" s="24">
        <f aca="true" t="shared" si="79" ref="H64:J66">P64+X64+AF64+AN64</f>
        <v>12900</v>
      </c>
      <c r="I64" s="24">
        <f t="shared" si="79"/>
        <v>0</v>
      </c>
      <c r="J64" s="24">
        <f t="shared" si="79"/>
        <v>0</v>
      </c>
      <c r="K64" s="24">
        <f t="shared" si="36"/>
        <v>0</v>
      </c>
      <c r="L64" s="502">
        <f>SUM(M64:S64)</f>
        <v>7950</v>
      </c>
      <c r="M64" s="16">
        <f>3000-3000</f>
        <v>0</v>
      </c>
      <c r="N64" s="14">
        <v>0</v>
      </c>
      <c r="O64" s="14">
        <v>0</v>
      </c>
      <c r="P64" s="14">
        <f>4950+3000</f>
        <v>7950</v>
      </c>
      <c r="Q64" s="14">
        <v>0</v>
      </c>
      <c r="R64" s="14">
        <v>0</v>
      </c>
      <c r="S64" s="14">
        <v>0</v>
      </c>
      <c r="T64" s="502">
        <f>SUM(U64:AA64)</f>
        <v>0</v>
      </c>
      <c r="U64" s="14">
        <v>0</v>
      </c>
      <c r="V64" s="14">
        <v>0</v>
      </c>
      <c r="W64" s="14">
        <v>0</v>
      </c>
      <c r="X64" s="14">
        <f>4950-4950</f>
        <v>0</v>
      </c>
      <c r="Y64" s="14">
        <v>0</v>
      </c>
      <c r="Z64" s="14">
        <v>0</v>
      </c>
      <c r="AA64" s="14">
        <v>0</v>
      </c>
      <c r="AB64" s="502">
        <f>SUM(AC64:AI64)</f>
        <v>0</v>
      </c>
      <c r="AC64" s="14">
        <v>0</v>
      </c>
      <c r="AD64" s="14">
        <v>0</v>
      </c>
      <c r="AE64" s="14">
        <v>0</v>
      </c>
      <c r="AF64" s="14">
        <f>4950-4950</f>
        <v>0</v>
      </c>
      <c r="AG64" s="14">
        <v>0</v>
      </c>
      <c r="AH64" s="14">
        <v>0</v>
      </c>
      <c r="AI64" s="14">
        <v>0</v>
      </c>
      <c r="AJ64" s="502">
        <f>SUM(AK64:AQ64)</f>
        <v>4950</v>
      </c>
      <c r="AK64" s="14">
        <v>0</v>
      </c>
      <c r="AL64" s="14">
        <v>0</v>
      </c>
      <c r="AM64" s="14">
        <v>0</v>
      </c>
      <c r="AN64" s="14">
        <v>4950</v>
      </c>
      <c r="AO64" s="14">
        <v>0</v>
      </c>
      <c r="AP64" s="14">
        <v>0</v>
      </c>
      <c r="AQ64" s="14">
        <v>0</v>
      </c>
    </row>
    <row r="65" spans="1:43" ht="32.25" customHeight="1">
      <c r="A65" s="312" t="s">
        <v>1001</v>
      </c>
      <c r="B65" s="696" t="s">
        <v>1003</v>
      </c>
      <c r="C65" s="462">
        <v>225</v>
      </c>
      <c r="D65" s="308">
        <f>E65+G65+H65+I65+J65+K65</f>
        <v>6900</v>
      </c>
      <c r="E65" s="24">
        <f t="shared" si="78"/>
        <v>6900</v>
      </c>
      <c r="F65" s="24">
        <f t="shared" si="78"/>
        <v>0</v>
      </c>
      <c r="G65" s="24">
        <f>O65+W65+AE65+AM65</f>
        <v>0</v>
      </c>
      <c r="H65" s="24">
        <f t="shared" si="79"/>
        <v>0</v>
      </c>
      <c r="I65" s="24">
        <f t="shared" si="79"/>
        <v>0</v>
      </c>
      <c r="J65" s="24">
        <f t="shared" si="79"/>
        <v>0</v>
      </c>
      <c r="K65" s="24">
        <f t="shared" si="36"/>
        <v>0</v>
      </c>
      <c r="L65" s="502">
        <f>SUM(M65:S65)</f>
        <v>0</v>
      </c>
      <c r="M65" s="16">
        <f>3000-3000</f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502">
        <f>SUM(U65:AA65)</f>
        <v>0</v>
      </c>
      <c r="U65" s="14">
        <f>6900-6900</f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502">
        <f>SUM(AC65:AI65)</f>
        <v>6900</v>
      </c>
      <c r="AC65" s="14">
        <f>6900</f>
        <v>6900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502">
        <f>SUM(AK65:AQ65)</f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</row>
    <row r="66" spans="1:43" ht="32.25" customHeight="1">
      <c r="A66" s="312" t="s">
        <v>1021</v>
      </c>
      <c r="B66" s="461" t="s">
        <v>608</v>
      </c>
      <c r="C66" s="469">
        <v>225</v>
      </c>
      <c r="D66" s="308">
        <f>E66+F66+G66+H66+I66+J66+K66</f>
        <v>23100</v>
      </c>
      <c r="E66" s="24">
        <f t="shared" si="78"/>
        <v>0</v>
      </c>
      <c r="F66" s="24">
        <f t="shared" si="78"/>
        <v>0</v>
      </c>
      <c r="G66" s="24">
        <f>O66+W66+AE66+AM66</f>
        <v>0</v>
      </c>
      <c r="H66" s="24">
        <f t="shared" si="79"/>
        <v>23100</v>
      </c>
      <c r="I66" s="24">
        <f t="shared" si="79"/>
        <v>0</v>
      </c>
      <c r="J66" s="24">
        <f t="shared" si="79"/>
        <v>0</v>
      </c>
      <c r="K66" s="24">
        <f t="shared" si="36"/>
        <v>0</v>
      </c>
      <c r="L66" s="502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502">
        <f>U66+V66+W66+X66+Y66+Z66+AA66</f>
        <v>23100</v>
      </c>
      <c r="U66" s="14">
        <v>0</v>
      </c>
      <c r="V66" s="14">
        <v>0</v>
      </c>
      <c r="W66" s="14">
        <v>0</v>
      </c>
      <c r="X66" s="14">
        <v>23100</v>
      </c>
      <c r="Y66" s="14">
        <v>0</v>
      </c>
      <c r="Z66" s="14">
        <v>0</v>
      </c>
      <c r="AA66" s="14">
        <v>0</v>
      </c>
      <c r="AB66" s="502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502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</row>
    <row r="67" spans="1:43" ht="2.25" customHeight="1" hidden="1">
      <c r="A67" s="312" t="s">
        <v>149</v>
      </c>
      <c r="B67" s="461" t="s">
        <v>100</v>
      </c>
      <c r="C67" s="469">
        <v>225</v>
      </c>
      <c r="D67" s="525" t="e">
        <f>E67+#REF!+G67+H67+I67+J67+K67</f>
        <v>#REF!</v>
      </c>
      <c r="E67" s="24">
        <f t="shared" si="61"/>
        <v>0</v>
      </c>
      <c r="F67" s="24">
        <f>N67+V67+AD67+AL67</f>
        <v>0</v>
      </c>
      <c r="G67" s="24">
        <f t="shared" si="75"/>
        <v>0</v>
      </c>
      <c r="H67" s="24">
        <f t="shared" si="73"/>
        <v>0</v>
      </c>
      <c r="I67" s="24">
        <f t="shared" si="10"/>
        <v>0</v>
      </c>
      <c r="J67" s="24">
        <f t="shared" si="8"/>
        <v>0</v>
      </c>
      <c r="K67" s="24">
        <f t="shared" si="36"/>
        <v>0</v>
      </c>
      <c r="L67" s="502">
        <f t="shared" si="69"/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502">
        <f t="shared" si="74"/>
        <v>0</v>
      </c>
      <c r="U67" s="14">
        <v>0</v>
      </c>
      <c r="V67" s="14"/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502">
        <f t="shared" si="71"/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502">
        <f t="shared" si="72"/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</row>
    <row r="68" spans="1:43" ht="29.25" customHeight="1">
      <c r="A68" s="516" t="s">
        <v>763</v>
      </c>
      <c r="B68" s="526" t="s">
        <v>101</v>
      </c>
      <c r="C68" s="478">
        <v>226</v>
      </c>
      <c r="D68" s="512">
        <f>E68+F68+H68+I68+K68</f>
        <v>2490920</v>
      </c>
      <c r="E68" s="500">
        <f>M68+U68+AC68+AK68</f>
        <v>309500</v>
      </c>
      <c r="F68" s="500">
        <f>N68+V68+AD68+AL68</f>
        <v>161100</v>
      </c>
      <c r="G68" s="500">
        <f t="shared" si="75"/>
        <v>0</v>
      </c>
      <c r="H68" s="500">
        <f>P68+X68+AF68+AN68</f>
        <v>1966120</v>
      </c>
      <c r="I68" s="500">
        <f>Q68+Y68+AG68+AO68</f>
        <v>0</v>
      </c>
      <c r="J68" s="500">
        <f>R68+Z68+AH68+AP68</f>
        <v>0</v>
      </c>
      <c r="K68" s="500">
        <f t="shared" si="36"/>
        <v>54200</v>
      </c>
      <c r="L68" s="547">
        <f aca="true" t="shared" si="80" ref="L68:S68">SUM(L69:L88)</f>
        <v>385200</v>
      </c>
      <c r="M68" s="527">
        <f t="shared" si="80"/>
        <v>113300</v>
      </c>
      <c r="N68" s="527">
        <f t="shared" si="80"/>
        <v>0</v>
      </c>
      <c r="O68" s="527">
        <f t="shared" si="80"/>
        <v>0</v>
      </c>
      <c r="P68" s="527">
        <f t="shared" si="80"/>
        <v>602720</v>
      </c>
      <c r="Q68" s="527">
        <f t="shared" si="80"/>
        <v>0</v>
      </c>
      <c r="R68" s="527">
        <f t="shared" si="80"/>
        <v>0</v>
      </c>
      <c r="S68" s="527">
        <f t="shared" si="80"/>
        <v>28000</v>
      </c>
      <c r="T68" s="547">
        <f>SUM(T69:T90)</f>
        <v>726800</v>
      </c>
      <c r="U68" s="527">
        <f aca="true" t="shared" si="81" ref="U68:AQ68">SUM(U69:U88)</f>
        <v>41500</v>
      </c>
      <c r="V68" s="527">
        <f t="shared" si="81"/>
        <v>0</v>
      </c>
      <c r="W68" s="527">
        <f t="shared" si="81"/>
        <v>0</v>
      </c>
      <c r="X68" s="527">
        <f t="shared" si="81"/>
        <v>588500</v>
      </c>
      <c r="Y68" s="527">
        <f t="shared" si="81"/>
        <v>0</v>
      </c>
      <c r="Z68" s="527">
        <f t="shared" si="81"/>
        <v>0</v>
      </c>
      <c r="AA68" s="527">
        <f t="shared" si="81"/>
        <v>0</v>
      </c>
      <c r="AB68" s="527">
        <f t="shared" si="81"/>
        <v>617400</v>
      </c>
      <c r="AC68" s="527">
        <f t="shared" si="81"/>
        <v>77400</v>
      </c>
      <c r="AD68" s="527">
        <f t="shared" si="81"/>
        <v>161100</v>
      </c>
      <c r="AE68" s="527">
        <f t="shared" si="81"/>
        <v>0</v>
      </c>
      <c r="AF68" s="527">
        <f t="shared" si="81"/>
        <v>566900</v>
      </c>
      <c r="AG68" s="527">
        <f t="shared" si="81"/>
        <v>0</v>
      </c>
      <c r="AH68" s="527">
        <f t="shared" si="81"/>
        <v>0</v>
      </c>
      <c r="AI68" s="527">
        <f t="shared" si="81"/>
        <v>0</v>
      </c>
      <c r="AJ68" s="527">
        <f t="shared" si="81"/>
        <v>292900</v>
      </c>
      <c r="AK68" s="527">
        <f t="shared" si="81"/>
        <v>77300</v>
      </c>
      <c r="AL68" s="527">
        <f t="shared" si="81"/>
        <v>0</v>
      </c>
      <c r="AM68" s="527">
        <f t="shared" si="81"/>
        <v>0</v>
      </c>
      <c r="AN68" s="527">
        <f t="shared" si="81"/>
        <v>208000</v>
      </c>
      <c r="AO68" s="527">
        <f t="shared" si="81"/>
        <v>0</v>
      </c>
      <c r="AP68" s="527">
        <f t="shared" si="81"/>
        <v>0</v>
      </c>
      <c r="AQ68" s="527">
        <f t="shared" si="81"/>
        <v>26200</v>
      </c>
    </row>
    <row r="69" spans="1:43" ht="45" customHeight="1">
      <c r="A69" s="312" t="s">
        <v>764</v>
      </c>
      <c r="B69" s="461" t="s">
        <v>709</v>
      </c>
      <c r="C69" s="469">
        <v>226</v>
      </c>
      <c r="D69" s="308">
        <f>E69+F69+H69+I69+K69</f>
        <v>1308500</v>
      </c>
      <c r="E69" s="24">
        <f t="shared" si="61"/>
        <v>309500</v>
      </c>
      <c r="F69" s="24">
        <f>N69+V69+AD69+AL69</f>
        <v>0</v>
      </c>
      <c r="G69" s="24">
        <f>O69+W69+AE69+AM69</f>
        <v>0</v>
      </c>
      <c r="H69" s="24">
        <f t="shared" si="73"/>
        <v>944800</v>
      </c>
      <c r="I69" s="24">
        <f t="shared" si="10"/>
        <v>0</v>
      </c>
      <c r="J69" s="24">
        <f t="shared" si="8"/>
        <v>0</v>
      </c>
      <c r="K69" s="24">
        <f t="shared" si="36"/>
        <v>54200</v>
      </c>
      <c r="L69" s="502">
        <f t="shared" si="69"/>
        <v>333800</v>
      </c>
      <c r="M69" s="16">
        <f>52520.88+13289.12+5550+3040+3000+33600+2300</f>
        <v>113300</v>
      </c>
      <c r="N69" s="14">
        <v>0</v>
      </c>
      <c r="O69" s="14">
        <v>0</v>
      </c>
      <c r="P69" s="16">
        <f>162500-3000-6000+39000</f>
        <v>192500</v>
      </c>
      <c r="Q69" s="14">
        <v>0</v>
      </c>
      <c r="R69" s="14">
        <v>0</v>
      </c>
      <c r="S69" s="14">
        <f>67000-39000</f>
        <v>28000</v>
      </c>
      <c r="T69" s="502">
        <f>SUM(U69:AA69)</f>
        <v>319900</v>
      </c>
      <c r="U69" s="14">
        <f>77400-33600-2300</f>
        <v>41500</v>
      </c>
      <c r="V69" s="14">
        <v>0</v>
      </c>
      <c r="W69" s="14">
        <v>0</v>
      </c>
      <c r="X69" s="14">
        <f>261200-50000-9000-100000+176200</f>
        <v>278400</v>
      </c>
      <c r="Y69" s="14">
        <v>0</v>
      </c>
      <c r="Z69" s="14">
        <v>0</v>
      </c>
      <c r="AA69" s="14">
        <f>126200+50000-176200</f>
        <v>0</v>
      </c>
      <c r="AB69" s="502">
        <f t="shared" si="71"/>
        <v>401900</v>
      </c>
      <c r="AC69" s="14">
        <v>77400</v>
      </c>
      <c r="AD69" s="14">
        <v>0</v>
      </c>
      <c r="AE69" s="14">
        <v>0</v>
      </c>
      <c r="AF69" s="14">
        <f>211900-100000-9000+221600</f>
        <v>324500</v>
      </c>
      <c r="AG69" s="14">
        <v>0</v>
      </c>
      <c r="AH69" s="14">
        <v>0</v>
      </c>
      <c r="AI69" s="14">
        <f>121600+100000-221600</f>
        <v>0</v>
      </c>
      <c r="AJ69" s="502">
        <f t="shared" si="72"/>
        <v>252900</v>
      </c>
      <c r="AK69" s="14">
        <v>77300</v>
      </c>
      <c r="AL69" s="14">
        <v>0</v>
      </c>
      <c r="AM69" s="14">
        <v>0</v>
      </c>
      <c r="AN69" s="14">
        <f>160800-50000-9000+47600</f>
        <v>149400</v>
      </c>
      <c r="AO69" s="14">
        <v>0</v>
      </c>
      <c r="AP69" s="14">
        <v>0</v>
      </c>
      <c r="AQ69" s="14">
        <f>23800+50000-47600</f>
        <v>26200</v>
      </c>
    </row>
    <row r="70" spans="1:43" ht="32.25" customHeight="1">
      <c r="A70" s="312" t="s">
        <v>765</v>
      </c>
      <c r="B70" s="506" t="s">
        <v>60</v>
      </c>
      <c r="C70" s="469">
        <v>226</v>
      </c>
      <c r="D70" s="308">
        <f>E70+G70+H70+I70+J70+K70</f>
        <v>19000</v>
      </c>
      <c r="E70" s="24">
        <f t="shared" si="61"/>
        <v>0</v>
      </c>
      <c r="F70" s="24">
        <f>N70+V70+AD70+AL70</f>
        <v>0</v>
      </c>
      <c r="G70" s="24">
        <f>O70+W70+AE70+AM70</f>
        <v>0</v>
      </c>
      <c r="H70" s="24">
        <f>P70+X70+AF70+AN70</f>
        <v>19000</v>
      </c>
      <c r="I70" s="24">
        <f t="shared" si="10"/>
        <v>0</v>
      </c>
      <c r="J70" s="24">
        <f t="shared" si="8"/>
        <v>0</v>
      </c>
      <c r="K70" s="24">
        <f aca="true" t="shared" si="82" ref="K70:K78">S70+AA70+AI70+AQ70</f>
        <v>0</v>
      </c>
      <c r="L70" s="502">
        <f t="shared" si="69"/>
        <v>2000</v>
      </c>
      <c r="M70" s="16">
        <v>0</v>
      </c>
      <c r="N70" s="14">
        <v>0</v>
      </c>
      <c r="O70" s="14">
        <v>0</v>
      </c>
      <c r="P70" s="14">
        <v>2000</v>
      </c>
      <c r="Q70" s="14">
        <v>0</v>
      </c>
      <c r="R70" s="14">
        <v>0</v>
      </c>
      <c r="S70" s="14">
        <v>0</v>
      </c>
      <c r="T70" s="502">
        <f>SUM(U70:AA70)</f>
        <v>5000</v>
      </c>
      <c r="U70" s="14">
        <v>0</v>
      </c>
      <c r="V70" s="14">
        <v>0</v>
      </c>
      <c r="W70" s="14">
        <v>0</v>
      </c>
      <c r="X70" s="14">
        <v>5000</v>
      </c>
      <c r="Y70" s="14">
        <v>0</v>
      </c>
      <c r="Z70" s="14">
        <v>0</v>
      </c>
      <c r="AA70" s="14">
        <v>0</v>
      </c>
      <c r="AB70" s="502">
        <f>SUM(AC70:AI70)</f>
        <v>12000</v>
      </c>
      <c r="AC70" s="14">
        <v>0</v>
      </c>
      <c r="AD70" s="14">
        <v>0</v>
      </c>
      <c r="AE70" s="14">
        <v>0</v>
      </c>
      <c r="AF70" s="14">
        <f>2000+10000</f>
        <v>12000</v>
      </c>
      <c r="AG70" s="14">
        <v>0</v>
      </c>
      <c r="AH70" s="14">
        <v>0</v>
      </c>
      <c r="AI70" s="14">
        <v>0</v>
      </c>
      <c r="AJ70" s="502">
        <f t="shared" si="72"/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</row>
    <row r="71" spans="1:43" ht="70.5" customHeight="1">
      <c r="A71" s="312" t="s">
        <v>766</v>
      </c>
      <c r="B71" s="506" t="s">
        <v>1077</v>
      </c>
      <c r="C71" s="469">
        <v>226</v>
      </c>
      <c r="D71" s="308">
        <f>E71+F71+G71+H71+I71+J71+K71</f>
        <v>30000</v>
      </c>
      <c r="E71" s="24">
        <v>0</v>
      </c>
      <c r="F71" s="24">
        <v>0</v>
      </c>
      <c r="G71" s="24">
        <v>0</v>
      </c>
      <c r="H71" s="24">
        <f>P71+X71+AF71+AN71</f>
        <v>30000</v>
      </c>
      <c r="I71" s="24">
        <f t="shared" si="10"/>
        <v>0</v>
      </c>
      <c r="J71" s="24">
        <f t="shared" si="8"/>
        <v>0</v>
      </c>
      <c r="K71" s="24">
        <f t="shared" si="82"/>
        <v>0</v>
      </c>
      <c r="L71" s="502">
        <v>0</v>
      </c>
      <c r="M71" s="16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502">
        <f>U71+V71+W71+X71+Y71+Z71+AA71</f>
        <v>30000</v>
      </c>
      <c r="U71" s="14">
        <v>0</v>
      </c>
      <c r="V71" s="14">
        <v>0</v>
      </c>
      <c r="W71" s="14">
        <v>0</v>
      </c>
      <c r="X71" s="14">
        <v>30000</v>
      </c>
      <c r="Y71" s="14">
        <v>0</v>
      </c>
      <c r="Z71" s="14">
        <v>0</v>
      </c>
      <c r="AA71" s="14">
        <v>0</v>
      </c>
      <c r="AB71" s="502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502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</row>
    <row r="72" spans="1:43" ht="21.75" customHeight="1">
      <c r="A72" s="312" t="s">
        <v>767</v>
      </c>
      <c r="B72" s="506" t="s">
        <v>1071</v>
      </c>
      <c r="C72" s="469">
        <v>226</v>
      </c>
      <c r="D72" s="308">
        <f>E72+F72+G72+H72+I72+J72+K72</f>
        <v>7000</v>
      </c>
      <c r="E72" s="24">
        <v>0</v>
      </c>
      <c r="F72" s="24">
        <v>0</v>
      </c>
      <c r="G72" s="24">
        <v>0</v>
      </c>
      <c r="H72" s="24">
        <f>P72+X72+AF72+AN72</f>
        <v>7000</v>
      </c>
      <c r="I72" s="24">
        <f t="shared" si="10"/>
        <v>0</v>
      </c>
      <c r="J72" s="24">
        <f t="shared" si="8"/>
        <v>0</v>
      </c>
      <c r="K72" s="24">
        <f t="shared" si="82"/>
        <v>0</v>
      </c>
      <c r="L72" s="502">
        <v>0</v>
      </c>
      <c r="M72" s="16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502">
        <f>U72+V72+W72+X72+Y72+Z72+AA72</f>
        <v>7000</v>
      </c>
      <c r="U72" s="14">
        <v>0</v>
      </c>
      <c r="V72" s="14">
        <v>0</v>
      </c>
      <c r="W72" s="14">
        <v>0</v>
      </c>
      <c r="X72" s="14">
        <f>42000-20000-1000-10000-3000-1000</f>
        <v>7000</v>
      </c>
      <c r="Y72" s="14">
        <v>0</v>
      </c>
      <c r="Z72" s="14">
        <v>0</v>
      </c>
      <c r="AA72" s="14">
        <v>0</v>
      </c>
      <c r="AB72" s="502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502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</row>
    <row r="73" spans="1:43" ht="31.5" customHeight="1">
      <c r="A73" s="312" t="s">
        <v>768</v>
      </c>
      <c r="B73" s="506" t="s">
        <v>711</v>
      </c>
      <c r="C73" s="469">
        <v>226</v>
      </c>
      <c r="D73" s="308">
        <f>E73+F73+G73+H73+I73+J73+K73</f>
        <v>160000</v>
      </c>
      <c r="E73" s="24">
        <v>0</v>
      </c>
      <c r="F73" s="24">
        <v>0</v>
      </c>
      <c r="G73" s="24">
        <v>0</v>
      </c>
      <c r="H73" s="24">
        <f>P73+X73+AF73+AN73</f>
        <v>160000</v>
      </c>
      <c r="I73" s="24">
        <f t="shared" si="10"/>
        <v>0</v>
      </c>
      <c r="J73" s="24">
        <f t="shared" si="8"/>
        <v>0</v>
      </c>
      <c r="K73" s="24">
        <f t="shared" si="82"/>
        <v>0</v>
      </c>
      <c r="L73" s="502">
        <f>M73+N73+O73+P73+Q73+R73+S73</f>
        <v>40000</v>
      </c>
      <c r="M73" s="16">
        <v>0</v>
      </c>
      <c r="N73" s="14">
        <v>0</v>
      </c>
      <c r="O73" s="14">
        <v>0</v>
      </c>
      <c r="P73" s="14">
        <v>40000</v>
      </c>
      <c r="Q73" s="14">
        <v>0</v>
      </c>
      <c r="R73" s="14">
        <v>0</v>
      </c>
      <c r="S73" s="14">
        <v>0</v>
      </c>
      <c r="T73" s="502">
        <f>U73+V73+W73+X73+Y73+Z73+AA73</f>
        <v>40000</v>
      </c>
      <c r="U73" s="14">
        <v>0</v>
      </c>
      <c r="V73" s="14">
        <v>0</v>
      </c>
      <c r="W73" s="14">
        <v>0</v>
      </c>
      <c r="X73" s="14">
        <v>40000</v>
      </c>
      <c r="Y73" s="14">
        <v>0</v>
      </c>
      <c r="Z73" s="14">
        <v>0</v>
      </c>
      <c r="AA73" s="14">
        <v>0</v>
      </c>
      <c r="AB73" s="502">
        <f>AC73+AD73+AE73+AF73+AG73+AH73+AI73</f>
        <v>40000</v>
      </c>
      <c r="AC73" s="14">
        <v>0</v>
      </c>
      <c r="AD73" s="14">
        <v>0</v>
      </c>
      <c r="AE73" s="14">
        <v>0</v>
      </c>
      <c r="AF73" s="14">
        <v>40000</v>
      </c>
      <c r="AG73" s="14">
        <v>0</v>
      </c>
      <c r="AH73" s="14">
        <v>0</v>
      </c>
      <c r="AI73" s="14">
        <v>0</v>
      </c>
      <c r="AJ73" s="502">
        <f>AK73+AL73+AM73+AN73+AO73+AP73+AQ73</f>
        <v>40000</v>
      </c>
      <c r="AK73" s="14">
        <v>0</v>
      </c>
      <c r="AL73" s="14">
        <v>0</v>
      </c>
      <c r="AM73" s="14">
        <v>0</v>
      </c>
      <c r="AN73" s="14">
        <v>40000</v>
      </c>
      <c r="AO73" s="14">
        <v>0</v>
      </c>
      <c r="AP73" s="14">
        <v>0</v>
      </c>
      <c r="AQ73" s="14">
        <v>0</v>
      </c>
    </row>
    <row r="74" spans="1:43" ht="54" customHeight="1">
      <c r="A74" s="312" t="s">
        <v>769</v>
      </c>
      <c r="B74" s="506" t="s">
        <v>590</v>
      </c>
      <c r="C74" s="469">
        <v>226</v>
      </c>
      <c r="D74" s="308">
        <f>E74+G74+H74+I74+J74+K74</f>
        <v>2500</v>
      </c>
      <c r="E74" s="24">
        <f t="shared" si="61"/>
        <v>0</v>
      </c>
      <c r="F74" s="24">
        <f aca="true" t="shared" si="83" ref="F74:G76">N74+V74+AD74+AL74</f>
        <v>0</v>
      </c>
      <c r="G74" s="24">
        <f t="shared" si="83"/>
        <v>0</v>
      </c>
      <c r="H74" s="24">
        <f t="shared" si="73"/>
        <v>2500</v>
      </c>
      <c r="I74" s="24">
        <f t="shared" si="10"/>
        <v>0</v>
      </c>
      <c r="J74" s="24">
        <f t="shared" si="8"/>
        <v>0</v>
      </c>
      <c r="K74" s="24">
        <f t="shared" si="82"/>
        <v>0</v>
      </c>
      <c r="L74" s="502">
        <f t="shared" si="69"/>
        <v>2500</v>
      </c>
      <c r="M74" s="16">
        <v>0</v>
      </c>
      <c r="N74" s="14">
        <v>0</v>
      </c>
      <c r="O74" s="14">
        <v>0</v>
      </c>
      <c r="P74" s="14">
        <f>9500-7000</f>
        <v>2500</v>
      </c>
      <c r="Q74" s="14">
        <v>0</v>
      </c>
      <c r="R74" s="14">
        <v>0</v>
      </c>
      <c r="S74" s="14">
        <v>0</v>
      </c>
      <c r="T74" s="502">
        <f>SUM(U74:AA74)</f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502">
        <f t="shared" si="71"/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502">
        <f t="shared" si="72"/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</row>
    <row r="75" spans="1:43" ht="31.5" customHeight="1">
      <c r="A75" s="312" t="s">
        <v>770</v>
      </c>
      <c r="B75" s="506" t="s">
        <v>62</v>
      </c>
      <c r="C75" s="469">
        <v>226</v>
      </c>
      <c r="D75" s="308">
        <f>E75+G75+H75+I75+J75+K75</f>
        <v>4800</v>
      </c>
      <c r="E75" s="24">
        <f t="shared" si="61"/>
        <v>0</v>
      </c>
      <c r="F75" s="24">
        <f t="shared" si="83"/>
        <v>0</v>
      </c>
      <c r="G75" s="24">
        <f t="shared" si="83"/>
        <v>0</v>
      </c>
      <c r="H75" s="24">
        <f t="shared" si="73"/>
        <v>4800</v>
      </c>
      <c r="I75" s="24">
        <f t="shared" si="10"/>
        <v>0</v>
      </c>
      <c r="J75" s="24">
        <f t="shared" si="8"/>
        <v>0</v>
      </c>
      <c r="K75" s="24">
        <f t="shared" si="82"/>
        <v>0</v>
      </c>
      <c r="L75" s="502">
        <f t="shared" si="69"/>
        <v>2400</v>
      </c>
      <c r="M75" s="16">
        <v>0</v>
      </c>
      <c r="N75" s="14">
        <v>0</v>
      </c>
      <c r="O75" s="14">
        <v>0</v>
      </c>
      <c r="P75" s="14">
        <v>2400</v>
      </c>
      <c r="Q75" s="14">
        <v>0</v>
      </c>
      <c r="R75" s="14">
        <v>0</v>
      </c>
      <c r="S75" s="14">
        <v>0</v>
      </c>
      <c r="T75" s="502">
        <f>SUM(U75:AA75)</f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502">
        <f t="shared" si="71"/>
        <v>2400</v>
      </c>
      <c r="AC75" s="14">
        <v>0</v>
      </c>
      <c r="AD75" s="14">
        <v>0</v>
      </c>
      <c r="AE75" s="14">
        <v>0</v>
      </c>
      <c r="AF75" s="14">
        <v>2400</v>
      </c>
      <c r="AG75" s="14">
        <v>0</v>
      </c>
      <c r="AH75" s="14">
        <v>0</v>
      </c>
      <c r="AI75" s="14">
        <v>0</v>
      </c>
      <c r="AJ75" s="502">
        <f t="shared" si="72"/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</row>
    <row r="76" spans="1:43" ht="22.5" customHeight="1">
      <c r="A76" s="312" t="s">
        <v>771</v>
      </c>
      <c r="B76" s="506" t="s">
        <v>63</v>
      </c>
      <c r="C76" s="469">
        <v>226</v>
      </c>
      <c r="D76" s="308">
        <f>E76+G76+H76+I76+J76+K76</f>
        <v>14500</v>
      </c>
      <c r="E76" s="24">
        <f t="shared" si="61"/>
        <v>0</v>
      </c>
      <c r="F76" s="24">
        <f t="shared" si="83"/>
        <v>0</v>
      </c>
      <c r="G76" s="24">
        <f t="shared" si="83"/>
        <v>0</v>
      </c>
      <c r="H76" s="24">
        <f t="shared" si="73"/>
        <v>14500</v>
      </c>
      <c r="I76" s="24">
        <f t="shared" si="10"/>
        <v>0</v>
      </c>
      <c r="J76" s="24">
        <f t="shared" si="8"/>
        <v>0</v>
      </c>
      <c r="K76" s="24">
        <f t="shared" si="82"/>
        <v>0</v>
      </c>
      <c r="L76" s="502">
        <f t="shared" si="69"/>
        <v>4500</v>
      </c>
      <c r="M76" s="16">
        <f>3040-3040</f>
        <v>0</v>
      </c>
      <c r="N76" s="14">
        <v>0</v>
      </c>
      <c r="O76" s="14">
        <v>0</v>
      </c>
      <c r="P76" s="14">
        <v>4500</v>
      </c>
      <c r="Q76" s="14">
        <v>0</v>
      </c>
      <c r="R76" s="14">
        <v>0</v>
      </c>
      <c r="S76" s="14">
        <v>0</v>
      </c>
      <c r="T76" s="502">
        <f>SUM(U76:AA76)</f>
        <v>10000</v>
      </c>
      <c r="U76" s="14">
        <v>0</v>
      </c>
      <c r="V76" s="14">
        <v>0</v>
      </c>
      <c r="W76" s="14">
        <v>0</v>
      </c>
      <c r="X76" s="14">
        <v>10000</v>
      </c>
      <c r="Y76" s="14">
        <v>0</v>
      </c>
      <c r="Z76" s="14">
        <v>0</v>
      </c>
      <c r="AA76" s="14">
        <v>0</v>
      </c>
      <c r="AB76" s="502">
        <f t="shared" si="71"/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502">
        <f t="shared" si="72"/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</row>
    <row r="77" spans="1:43" ht="23.25" customHeight="1">
      <c r="A77" s="312" t="s">
        <v>772</v>
      </c>
      <c r="B77" s="505" t="s">
        <v>977</v>
      </c>
      <c r="C77" s="473" t="s">
        <v>113</v>
      </c>
      <c r="D77" s="308">
        <f>E77+F77+H77+I77+K77</f>
        <v>33000</v>
      </c>
      <c r="E77" s="24">
        <v>0</v>
      </c>
      <c r="F77" s="24">
        <v>0</v>
      </c>
      <c r="G77" s="24">
        <v>0</v>
      </c>
      <c r="H77" s="24">
        <f>P77+X77+AF77+AN77</f>
        <v>33000</v>
      </c>
      <c r="I77" s="24">
        <f>Q77+Y77+AG77+AO77</f>
        <v>0</v>
      </c>
      <c r="J77" s="24">
        <f>R77+Z77+AH77+AP77</f>
        <v>0</v>
      </c>
      <c r="K77" s="24">
        <f t="shared" si="82"/>
        <v>0</v>
      </c>
      <c r="L77" s="502">
        <v>0</v>
      </c>
      <c r="M77" s="16">
        <v>0</v>
      </c>
      <c r="N77" s="14">
        <v>0</v>
      </c>
      <c r="O77" s="14">
        <v>0</v>
      </c>
      <c r="P77" s="14">
        <v>6000</v>
      </c>
      <c r="Q77" s="14">
        <v>0</v>
      </c>
      <c r="R77" s="14">
        <v>0</v>
      </c>
      <c r="S77" s="16">
        <v>0</v>
      </c>
      <c r="T77" s="502">
        <f>U77+V77+W77+X77+Y77+Z77+AA77</f>
        <v>9000</v>
      </c>
      <c r="U77" s="16">
        <v>0</v>
      </c>
      <c r="V77" s="16">
        <v>0</v>
      </c>
      <c r="W77" s="16">
        <v>0</v>
      </c>
      <c r="X77" s="16">
        <v>9000</v>
      </c>
      <c r="Y77" s="16">
        <v>0</v>
      </c>
      <c r="Z77" s="16">
        <v>0</v>
      </c>
      <c r="AA77" s="16">
        <v>0</v>
      </c>
      <c r="AB77" s="502">
        <v>0</v>
      </c>
      <c r="AC77" s="16">
        <v>0</v>
      </c>
      <c r="AD77" s="16">
        <v>0</v>
      </c>
      <c r="AE77" s="16">
        <v>0</v>
      </c>
      <c r="AF77" s="16">
        <v>9000</v>
      </c>
      <c r="AG77" s="16">
        <v>0</v>
      </c>
      <c r="AH77" s="16">
        <v>0</v>
      </c>
      <c r="AI77" s="16">
        <v>0</v>
      </c>
      <c r="AJ77" s="502">
        <v>0</v>
      </c>
      <c r="AK77" s="16">
        <v>0</v>
      </c>
      <c r="AL77" s="16">
        <v>0</v>
      </c>
      <c r="AM77" s="16">
        <v>0</v>
      </c>
      <c r="AN77" s="16">
        <v>9000</v>
      </c>
      <c r="AO77" s="16">
        <v>0</v>
      </c>
      <c r="AP77" s="16">
        <v>0</v>
      </c>
      <c r="AQ77" s="16">
        <v>0</v>
      </c>
    </row>
    <row r="78" spans="1:43" ht="30" customHeight="1">
      <c r="A78" s="312" t="s">
        <v>1022</v>
      </c>
      <c r="B78" s="505" t="s">
        <v>600</v>
      </c>
      <c r="C78" s="473" t="s">
        <v>113</v>
      </c>
      <c r="D78" s="308">
        <f>E78+F78+H78+I78+K78</f>
        <v>161100</v>
      </c>
      <c r="E78" s="24">
        <v>0</v>
      </c>
      <c r="F78" s="24">
        <f>AB78</f>
        <v>161100</v>
      </c>
      <c r="G78" s="24">
        <f>O78+W78+AE78+AM78</f>
        <v>0</v>
      </c>
      <c r="H78" s="24">
        <f t="shared" si="73"/>
        <v>0</v>
      </c>
      <c r="I78" s="24">
        <f t="shared" si="10"/>
        <v>0</v>
      </c>
      <c r="J78" s="24">
        <f t="shared" si="8"/>
        <v>0</v>
      </c>
      <c r="K78" s="24">
        <f t="shared" si="82"/>
        <v>0</v>
      </c>
      <c r="L78" s="502">
        <v>0</v>
      </c>
      <c r="M78" s="16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6">
        <v>0</v>
      </c>
      <c r="T78" s="502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502">
        <f>AC78+AD78+AE78+AF78+AG78+AH78+AI78</f>
        <v>161100</v>
      </c>
      <c r="AC78" s="16">
        <v>0</v>
      </c>
      <c r="AD78" s="16">
        <v>161100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502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</row>
    <row r="79" spans="1:43" ht="24" customHeight="1">
      <c r="A79" s="312" t="s">
        <v>773</v>
      </c>
      <c r="B79" s="505" t="s">
        <v>607</v>
      </c>
      <c r="C79" s="473" t="s">
        <v>113</v>
      </c>
      <c r="D79" s="308">
        <f>E79+F79+H79+I79+K79</f>
        <v>38400</v>
      </c>
      <c r="E79" s="24">
        <v>0</v>
      </c>
      <c r="F79" s="24">
        <v>0</v>
      </c>
      <c r="G79" s="24">
        <v>0</v>
      </c>
      <c r="H79" s="24">
        <f aca="true" t="shared" si="84" ref="H79:K88">P79+X79+AF79+AN79</f>
        <v>38400</v>
      </c>
      <c r="I79" s="24">
        <f t="shared" si="84"/>
        <v>0</v>
      </c>
      <c r="J79" s="24">
        <f t="shared" si="84"/>
        <v>0</v>
      </c>
      <c r="K79" s="24">
        <f t="shared" si="84"/>
        <v>0</v>
      </c>
      <c r="L79" s="502">
        <v>0</v>
      </c>
      <c r="M79" s="16">
        <v>0</v>
      </c>
      <c r="N79" s="14">
        <v>0</v>
      </c>
      <c r="O79" s="14">
        <v>0</v>
      </c>
      <c r="P79" s="14">
        <v>9600</v>
      </c>
      <c r="Q79" s="14">
        <v>0</v>
      </c>
      <c r="R79" s="14">
        <v>0</v>
      </c>
      <c r="S79" s="16">
        <v>0</v>
      </c>
      <c r="T79" s="502">
        <f aca="true" t="shared" si="85" ref="T79:T88">U79+V79+W79+X79+Y79+Z79+AA79</f>
        <v>9600</v>
      </c>
      <c r="U79" s="16">
        <v>0</v>
      </c>
      <c r="V79" s="16">
        <v>0</v>
      </c>
      <c r="W79" s="16">
        <v>0</v>
      </c>
      <c r="X79" s="16">
        <v>9600</v>
      </c>
      <c r="Y79" s="16">
        <v>0</v>
      </c>
      <c r="Z79" s="16">
        <v>0</v>
      </c>
      <c r="AA79" s="16">
        <v>0</v>
      </c>
      <c r="AB79" s="502">
        <v>0</v>
      </c>
      <c r="AC79" s="16">
        <v>0</v>
      </c>
      <c r="AD79" s="16">
        <v>0</v>
      </c>
      <c r="AE79" s="16">
        <v>0</v>
      </c>
      <c r="AF79" s="16">
        <v>9600</v>
      </c>
      <c r="AG79" s="16">
        <v>0</v>
      </c>
      <c r="AH79" s="16">
        <v>0</v>
      </c>
      <c r="AI79" s="16">
        <v>0</v>
      </c>
      <c r="AJ79" s="502">
        <v>0</v>
      </c>
      <c r="AK79" s="16">
        <v>0</v>
      </c>
      <c r="AL79" s="16">
        <v>0</v>
      </c>
      <c r="AM79" s="16">
        <v>0</v>
      </c>
      <c r="AN79" s="16">
        <v>9600</v>
      </c>
      <c r="AO79" s="16">
        <v>0</v>
      </c>
      <c r="AP79" s="16">
        <v>0</v>
      </c>
      <c r="AQ79" s="16">
        <v>0</v>
      </c>
    </row>
    <row r="80" spans="1:43" ht="33.75" customHeight="1">
      <c r="A80" s="312" t="s">
        <v>774</v>
      </c>
      <c r="B80" s="505" t="s">
        <v>903</v>
      </c>
      <c r="C80" s="473" t="s">
        <v>113</v>
      </c>
      <c r="D80" s="308">
        <f>E80+F80+H80+I80+K80</f>
        <v>14400</v>
      </c>
      <c r="E80" s="24">
        <v>0</v>
      </c>
      <c r="F80" s="24">
        <v>0</v>
      </c>
      <c r="G80" s="24">
        <v>0</v>
      </c>
      <c r="H80" s="24">
        <f t="shared" si="84"/>
        <v>14400</v>
      </c>
      <c r="I80" s="24">
        <f t="shared" si="84"/>
        <v>0</v>
      </c>
      <c r="J80" s="24">
        <f t="shared" si="84"/>
        <v>0</v>
      </c>
      <c r="K80" s="24">
        <f t="shared" si="84"/>
        <v>0</v>
      </c>
      <c r="L80" s="502">
        <v>0</v>
      </c>
      <c r="M80" s="16">
        <v>0</v>
      </c>
      <c r="N80" s="14">
        <v>0</v>
      </c>
      <c r="O80" s="14">
        <v>0</v>
      </c>
      <c r="P80" s="14">
        <v>14400</v>
      </c>
      <c r="Q80" s="14">
        <v>0</v>
      </c>
      <c r="R80" s="14">
        <v>0</v>
      </c>
      <c r="S80" s="16">
        <v>0</v>
      </c>
      <c r="T80" s="502">
        <f t="shared" si="85"/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502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502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</row>
    <row r="81" spans="1:43" ht="30" customHeight="1">
      <c r="A81" s="312" t="s">
        <v>902</v>
      </c>
      <c r="B81" s="505" t="s">
        <v>906</v>
      </c>
      <c r="C81" s="473" t="s">
        <v>113</v>
      </c>
      <c r="D81" s="308">
        <f aca="true" t="shared" si="86" ref="D81:D88">E81+F81+H81+I81+K81</f>
        <v>209800</v>
      </c>
      <c r="E81" s="24">
        <v>0</v>
      </c>
      <c r="F81" s="24">
        <v>0</v>
      </c>
      <c r="G81" s="24">
        <v>0</v>
      </c>
      <c r="H81" s="24">
        <f t="shared" si="84"/>
        <v>209800</v>
      </c>
      <c r="I81" s="24">
        <f t="shared" si="84"/>
        <v>0</v>
      </c>
      <c r="J81" s="24">
        <f t="shared" si="84"/>
        <v>0</v>
      </c>
      <c r="K81" s="24">
        <f t="shared" si="84"/>
        <v>0</v>
      </c>
      <c r="L81" s="502">
        <v>0</v>
      </c>
      <c r="M81" s="16">
        <v>0</v>
      </c>
      <c r="N81" s="14">
        <v>0</v>
      </c>
      <c r="O81" s="14">
        <v>0</v>
      </c>
      <c r="P81" s="14">
        <f>7000+15000+63800-1000+80000</f>
        <v>164800</v>
      </c>
      <c r="Q81" s="14">
        <v>0</v>
      </c>
      <c r="R81" s="14">
        <v>0</v>
      </c>
      <c r="S81" s="16">
        <v>0</v>
      </c>
      <c r="T81" s="502">
        <f t="shared" si="85"/>
        <v>5000</v>
      </c>
      <c r="U81" s="16">
        <v>0</v>
      </c>
      <c r="V81" s="16">
        <v>0</v>
      </c>
      <c r="W81" s="16">
        <v>0</v>
      </c>
      <c r="X81" s="16">
        <f>15000-10000</f>
        <v>5000</v>
      </c>
      <c r="Y81" s="16">
        <v>0</v>
      </c>
      <c r="Z81" s="16">
        <v>0</v>
      </c>
      <c r="AA81" s="16">
        <v>0</v>
      </c>
      <c r="AB81" s="502">
        <v>0</v>
      </c>
      <c r="AC81" s="16">
        <v>0</v>
      </c>
      <c r="AD81" s="16">
        <v>0</v>
      </c>
      <c r="AE81" s="16">
        <v>0</v>
      </c>
      <c r="AF81" s="16">
        <f>30000+10000</f>
        <v>40000</v>
      </c>
      <c r="AG81" s="16">
        <v>0</v>
      </c>
      <c r="AH81" s="16">
        <v>0</v>
      </c>
      <c r="AI81" s="16">
        <v>0</v>
      </c>
      <c r="AJ81" s="502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</row>
    <row r="82" spans="1:43" ht="30" customHeight="1">
      <c r="A82" s="312" t="s">
        <v>905</v>
      </c>
      <c r="B82" s="505" t="s">
        <v>910</v>
      </c>
      <c r="C82" s="473" t="s">
        <v>113</v>
      </c>
      <c r="D82" s="308">
        <f t="shared" si="86"/>
        <v>397950</v>
      </c>
      <c r="E82" s="24">
        <v>0</v>
      </c>
      <c r="F82" s="24">
        <v>0</v>
      </c>
      <c r="G82" s="24">
        <v>0</v>
      </c>
      <c r="H82" s="24">
        <f t="shared" si="84"/>
        <v>397950</v>
      </c>
      <c r="I82" s="24">
        <f t="shared" si="84"/>
        <v>0</v>
      </c>
      <c r="J82" s="24">
        <f t="shared" si="84"/>
        <v>0</v>
      </c>
      <c r="K82" s="24">
        <f t="shared" si="84"/>
        <v>0</v>
      </c>
      <c r="L82" s="502">
        <v>0</v>
      </c>
      <c r="M82" s="16">
        <v>0</v>
      </c>
      <c r="N82" s="14">
        <v>0</v>
      </c>
      <c r="O82" s="14">
        <v>0</v>
      </c>
      <c r="P82" s="14">
        <f>42800-15000+137200-80000+54650</f>
        <v>139650</v>
      </c>
      <c r="Q82" s="14">
        <v>0</v>
      </c>
      <c r="R82" s="14">
        <v>0</v>
      </c>
      <c r="S82" s="16">
        <v>0</v>
      </c>
      <c r="T82" s="502">
        <f t="shared" si="85"/>
        <v>183500</v>
      </c>
      <c r="U82" s="16">
        <v>0</v>
      </c>
      <c r="V82" s="16">
        <v>0</v>
      </c>
      <c r="W82" s="16">
        <v>0</v>
      </c>
      <c r="X82" s="16">
        <f>42800-15000+10000+20000+100000-7000+32700</f>
        <v>183500</v>
      </c>
      <c r="Y82" s="16">
        <v>0</v>
      </c>
      <c r="Z82" s="16">
        <v>0</v>
      </c>
      <c r="AA82" s="16">
        <v>0</v>
      </c>
      <c r="AB82" s="502">
        <v>0</v>
      </c>
      <c r="AC82" s="16">
        <v>0</v>
      </c>
      <c r="AD82" s="16">
        <v>0</v>
      </c>
      <c r="AE82" s="16">
        <v>0</v>
      </c>
      <c r="AF82" s="16">
        <f>102600-30000-10000+7000+5200</f>
        <v>74800</v>
      </c>
      <c r="AG82" s="16">
        <v>0</v>
      </c>
      <c r="AH82" s="16">
        <v>0</v>
      </c>
      <c r="AI82" s="16">
        <v>0</v>
      </c>
      <c r="AJ82" s="502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</row>
    <row r="83" spans="1:43" ht="26.25" customHeight="1">
      <c r="A83" s="312" t="s">
        <v>909</v>
      </c>
      <c r="B83" s="673" t="s">
        <v>916</v>
      </c>
      <c r="C83" s="473" t="s">
        <v>113</v>
      </c>
      <c r="D83" s="308">
        <f t="shared" si="86"/>
        <v>20870</v>
      </c>
      <c r="E83" s="24">
        <v>0</v>
      </c>
      <c r="F83" s="24">
        <v>0</v>
      </c>
      <c r="G83" s="24">
        <v>0</v>
      </c>
      <c r="H83" s="24">
        <f t="shared" si="84"/>
        <v>20870</v>
      </c>
      <c r="I83" s="24">
        <f t="shared" si="84"/>
        <v>0</v>
      </c>
      <c r="J83" s="24">
        <f t="shared" si="84"/>
        <v>0</v>
      </c>
      <c r="K83" s="24">
        <f t="shared" si="84"/>
        <v>0</v>
      </c>
      <c r="L83" s="502">
        <v>0</v>
      </c>
      <c r="M83" s="16">
        <v>0</v>
      </c>
      <c r="N83" s="14">
        <v>0</v>
      </c>
      <c r="O83" s="14">
        <v>0</v>
      </c>
      <c r="P83" s="14">
        <v>20870</v>
      </c>
      <c r="Q83" s="14">
        <v>0</v>
      </c>
      <c r="R83" s="14">
        <v>0</v>
      </c>
      <c r="S83" s="16">
        <v>0</v>
      </c>
      <c r="T83" s="502">
        <f t="shared" si="85"/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502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502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</row>
    <row r="84" spans="1:43" ht="26.25" customHeight="1">
      <c r="A84" s="312" t="s">
        <v>915</v>
      </c>
      <c r="B84" s="673" t="s">
        <v>918</v>
      </c>
      <c r="C84" s="473" t="s">
        <v>113</v>
      </c>
      <c r="D84" s="308">
        <f t="shared" si="86"/>
        <v>2500</v>
      </c>
      <c r="E84" s="24">
        <v>0</v>
      </c>
      <c r="F84" s="24">
        <v>0</v>
      </c>
      <c r="G84" s="24">
        <v>0</v>
      </c>
      <c r="H84" s="24">
        <f t="shared" si="84"/>
        <v>2500</v>
      </c>
      <c r="I84" s="24">
        <f t="shared" si="84"/>
        <v>0</v>
      </c>
      <c r="J84" s="24">
        <f t="shared" si="84"/>
        <v>0</v>
      </c>
      <c r="K84" s="24">
        <f t="shared" si="84"/>
        <v>0</v>
      </c>
      <c r="L84" s="502">
        <v>0</v>
      </c>
      <c r="M84" s="16">
        <v>0</v>
      </c>
      <c r="N84" s="14">
        <v>0</v>
      </c>
      <c r="O84" s="14">
        <v>0</v>
      </c>
      <c r="P84" s="14">
        <v>2500</v>
      </c>
      <c r="Q84" s="14">
        <v>0</v>
      </c>
      <c r="R84" s="14">
        <v>0</v>
      </c>
      <c r="S84" s="16">
        <v>0</v>
      </c>
      <c r="T84" s="502">
        <f t="shared" si="85"/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502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502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</row>
    <row r="85" spans="1:43" ht="26.25" customHeight="1">
      <c r="A85" s="312" t="s">
        <v>917</v>
      </c>
      <c r="B85" s="673" t="s">
        <v>970</v>
      </c>
      <c r="C85" s="473" t="s">
        <v>113</v>
      </c>
      <c r="D85" s="308">
        <f t="shared" si="86"/>
        <v>1000</v>
      </c>
      <c r="E85" s="24">
        <v>0</v>
      </c>
      <c r="F85" s="24">
        <v>0</v>
      </c>
      <c r="G85" s="24">
        <v>0</v>
      </c>
      <c r="H85" s="24">
        <f aca="true" t="shared" si="87" ref="H85:K87">P85+X85+AF85+AN85</f>
        <v>1000</v>
      </c>
      <c r="I85" s="24">
        <f t="shared" si="87"/>
        <v>0</v>
      </c>
      <c r="J85" s="24">
        <f t="shared" si="87"/>
        <v>0</v>
      </c>
      <c r="K85" s="24">
        <f t="shared" si="87"/>
        <v>0</v>
      </c>
      <c r="L85" s="502">
        <v>0</v>
      </c>
      <c r="M85" s="16">
        <v>0</v>
      </c>
      <c r="N85" s="14">
        <v>0</v>
      </c>
      <c r="O85" s="14">
        <v>0</v>
      </c>
      <c r="P85" s="14">
        <v>1000</v>
      </c>
      <c r="Q85" s="14">
        <v>0</v>
      </c>
      <c r="R85" s="14">
        <v>0</v>
      </c>
      <c r="S85" s="16">
        <v>0</v>
      </c>
      <c r="T85" s="502">
        <f>U85+V85+W85+X85+Y85+Z85+AA85</f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502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502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</row>
    <row r="86" spans="1:43" ht="26.25" customHeight="1">
      <c r="A86" s="312" t="s">
        <v>1062</v>
      </c>
      <c r="B86" s="673" t="s">
        <v>1063</v>
      </c>
      <c r="C86" s="473" t="s">
        <v>113</v>
      </c>
      <c r="D86" s="308">
        <f>E86+F86+H86+I86+K86</f>
        <v>2000</v>
      </c>
      <c r="E86" s="24">
        <v>0</v>
      </c>
      <c r="F86" s="24">
        <v>0</v>
      </c>
      <c r="G86" s="24">
        <v>0</v>
      </c>
      <c r="H86" s="24">
        <f t="shared" si="87"/>
        <v>2000</v>
      </c>
      <c r="I86" s="24">
        <f t="shared" si="87"/>
        <v>0</v>
      </c>
      <c r="J86" s="24">
        <f t="shared" si="87"/>
        <v>0</v>
      </c>
      <c r="K86" s="24">
        <f t="shared" si="87"/>
        <v>0</v>
      </c>
      <c r="L86" s="502">
        <v>0</v>
      </c>
      <c r="M86" s="16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6">
        <v>0</v>
      </c>
      <c r="T86" s="502">
        <f>U86+V86+W86+X86+Y86+Z86+AA86</f>
        <v>2000</v>
      </c>
      <c r="U86" s="16">
        <v>0</v>
      </c>
      <c r="V86" s="16">
        <v>0</v>
      </c>
      <c r="W86" s="16">
        <v>0</v>
      </c>
      <c r="X86" s="16">
        <f>1000+1000</f>
        <v>2000</v>
      </c>
      <c r="Y86" s="16">
        <v>0</v>
      </c>
      <c r="Z86" s="16">
        <v>0</v>
      </c>
      <c r="AA86" s="16">
        <v>0</v>
      </c>
      <c r="AB86" s="502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502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</row>
    <row r="87" spans="1:43" ht="26.25" customHeight="1">
      <c r="A87" s="312" t="s">
        <v>1084</v>
      </c>
      <c r="B87" s="505" t="s">
        <v>1083</v>
      </c>
      <c r="C87" s="473" t="s">
        <v>113</v>
      </c>
      <c r="D87" s="308">
        <f>E87+F87+H87+I87+K87</f>
        <v>9000</v>
      </c>
      <c r="E87" s="24">
        <v>0</v>
      </c>
      <c r="F87" s="24">
        <v>0</v>
      </c>
      <c r="G87" s="24">
        <v>0</v>
      </c>
      <c r="H87" s="24">
        <f t="shared" si="87"/>
        <v>9000</v>
      </c>
      <c r="I87" s="24">
        <f t="shared" si="87"/>
        <v>0</v>
      </c>
      <c r="J87" s="24">
        <f t="shared" si="87"/>
        <v>0</v>
      </c>
      <c r="K87" s="24">
        <f t="shared" si="87"/>
        <v>0</v>
      </c>
      <c r="L87" s="502">
        <v>0</v>
      </c>
      <c r="M87" s="16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6">
        <v>0</v>
      </c>
      <c r="T87" s="502">
        <f>U87+V87+W87+X87+Y87+Z87+AA87</f>
        <v>9000</v>
      </c>
      <c r="U87" s="16">
        <v>0</v>
      </c>
      <c r="V87" s="16">
        <v>0</v>
      </c>
      <c r="W87" s="16">
        <v>0</v>
      </c>
      <c r="X87" s="16">
        <f>3000+6000</f>
        <v>9000</v>
      </c>
      <c r="Y87" s="16">
        <v>0</v>
      </c>
      <c r="Z87" s="16">
        <v>0</v>
      </c>
      <c r="AA87" s="16">
        <v>0</v>
      </c>
      <c r="AB87" s="502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502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</row>
    <row r="88" spans="1:43" ht="26.25" customHeight="1">
      <c r="A88" s="312" t="s">
        <v>1114</v>
      </c>
      <c r="B88" s="505" t="s">
        <v>1115</v>
      </c>
      <c r="C88" s="473" t="s">
        <v>113</v>
      </c>
      <c r="D88" s="308">
        <f t="shared" si="86"/>
        <v>54600</v>
      </c>
      <c r="E88" s="24">
        <v>0</v>
      </c>
      <c r="F88" s="24">
        <v>0</v>
      </c>
      <c r="G88" s="24">
        <v>0</v>
      </c>
      <c r="H88" s="24">
        <f t="shared" si="84"/>
        <v>54600</v>
      </c>
      <c r="I88" s="24">
        <f t="shared" si="84"/>
        <v>0</v>
      </c>
      <c r="J88" s="24">
        <f t="shared" si="84"/>
        <v>0</v>
      </c>
      <c r="K88" s="24">
        <f t="shared" si="84"/>
        <v>0</v>
      </c>
      <c r="L88" s="502">
        <v>0</v>
      </c>
      <c r="M88" s="16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6">
        <v>0</v>
      </c>
      <c r="T88" s="502">
        <f t="shared" si="85"/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502">
        <v>0</v>
      </c>
      <c r="AC88" s="16">
        <v>0</v>
      </c>
      <c r="AD88" s="16">
        <v>0</v>
      </c>
      <c r="AE88" s="16">
        <v>0</v>
      </c>
      <c r="AF88" s="16">
        <v>54600</v>
      </c>
      <c r="AG88" s="16">
        <v>0</v>
      </c>
      <c r="AH88" s="16">
        <v>0</v>
      </c>
      <c r="AI88" s="16">
        <v>0</v>
      </c>
      <c r="AJ88" s="502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</row>
    <row r="89" spans="1:43" ht="30" customHeight="1">
      <c r="A89" s="528" t="s">
        <v>775</v>
      </c>
      <c r="B89" s="529" t="s">
        <v>777</v>
      </c>
      <c r="C89" s="479" t="s">
        <v>776</v>
      </c>
      <c r="D89" s="518">
        <f>E89+F89+H89+I89+K89</f>
        <v>193400</v>
      </c>
      <c r="E89" s="500">
        <f aca="true" t="shared" si="88" ref="E89:J92">M89+U89+AC89+AK89</f>
        <v>193400</v>
      </c>
      <c r="F89" s="500">
        <f t="shared" si="88"/>
        <v>0</v>
      </c>
      <c r="G89" s="500">
        <f t="shared" si="88"/>
        <v>0</v>
      </c>
      <c r="H89" s="500">
        <f t="shared" si="88"/>
        <v>0</v>
      </c>
      <c r="I89" s="500">
        <f t="shared" si="88"/>
        <v>0</v>
      </c>
      <c r="J89" s="500">
        <f t="shared" si="88"/>
        <v>0</v>
      </c>
      <c r="K89" s="500">
        <f>S89+AA89+AI89+AQ89</f>
        <v>0</v>
      </c>
      <c r="L89" s="547">
        <f>SUM(M89:S89)</f>
        <v>48400</v>
      </c>
      <c r="M89" s="527">
        <f>SUM(M90)</f>
        <v>48400</v>
      </c>
      <c r="N89" s="527">
        <f aca="true" t="shared" si="89" ref="N89:S89">SUM(N90)</f>
        <v>0</v>
      </c>
      <c r="O89" s="527">
        <f t="shared" si="89"/>
        <v>0</v>
      </c>
      <c r="P89" s="527">
        <f t="shared" si="89"/>
        <v>0</v>
      </c>
      <c r="Q89" s="527">
        <f t="shared" si="89"/>
        <v>0</v>
      </c>
      <c r="R89" s="527">
        <f t="shared" si="89"/>
        <v>0</v>
      </c>
      <c r="S89" s="527">
        <f t="shared" si="89"/>
        <v>0</v>
      </c>
      <c r="T89" s="547">
        <f>SUM(U89:AA89)</f>
        <v>48400</v>
      </c>
      <c r="U89" s="527">
        <f>SUM(U90)</f>
        <v>48400</v>
      </c>
      <c r="V89" s="527">
        <f aca="true" t="shared" si="90" ref="V89:AA89">SUM(V90)</f>
        <v>0</v>
      </c>
      <c r="W89" s="527">
        <f t="shared" si="90"/>
        <v>0</v>
      </c>
      <c r="X89" s="527">
        <f t="shared" si="90"/>
        <v>0</v>
      </c>
      <c r="Y89" s="527">
        <f t="shared" si="90"/>
        <v>0</v>
      </c>
      <c r="Z89" s="527">
        <f t="shared" si="90"/>
        <v>0</v>
      </c>
      <c r="AA89" s="527">
        <f t="shared" si="90"/>
        <v>0</v>
      </c>
      <c r="AB89" s="530">
        <f aca="true" t="shared" si="91" ref="AB89:AB98">SUM(AC89:AI89)</f>
        <v>48400</v>
      </c>
      <c r="AC89" s="531">
        <f>AC90</f>
        <v>48400</v>
      </c>
      <c r="AD89" s="531">
        <f aca="true" t="shared" si="92" ref="AD89:AI89">AD90</f>
        <v>0</v>
      </c>
      <c r="AE89" s="531">
        <f t="shared" si="92"/>
        <v>0</v>
      </c>
      <c r="AF89" s="531">
        <f t="shared" si="92"/>
        <v>0</v>
      </c>
      <c r="AG89" s="531">
        <f t="shared" si="92"/>
        <v>0</v>
      </c>
      <c r="AH89" s="531">
        <f t="shared" si="92"/>
        <v>0</v>
      </c>
      <c r="AI89" s="531">
        <f t="shared" si="92"/>
        <v>0</v>
      </c>
      <c r="AJ89" s="530">
        <f aca="true" t="shared" si="93" ref="AJ89:AJ100">SUM(AK89:AQ89)</f>
        <v>48200</v>
      </c>
      <c r="AK89" s="531">
        <f>AK90</f>
        <v>48200</v>
      </c>
      <c r="AL89" s="531">
        <f aca="true" t="shared" si="94" ref="AL89:AQ89">AL90</f>
        <v>0</v>
      </c>
      <c r="AM89" s="531">
        <f t="shared" si="94"/>
        <v>0</v>
      </c>
      <c r="AN89" s="531">
        <f t="shared" si="94"/>
        <v>0</v>
      </c>
      <c r="AO89" s="531">
        <f t="shared" si="94"/>
        <v>0</v>
      </c>
      <c r="AP89" s="531">
        <f t="shared" si="94"/>
        <v>0</v>
      </c>
      <c r="AQ89" s="531">
        <f t="shared" si="94"/>
        <v>0</v>
      </c>
    </row>
    <row r="90" spans="1:43" ht="30" customHeight="1">
      <c r="A90" s="312" t="s">
        <v>778</v>
      </c>
      <c r="B90" s="505" t="s">
        <v>779</v>
      </c>
      <c r="C90" s="473" t="s">
        <v>776</v>
      </c>
      <c r="D90" s="308">
        <f>E90+F90+H90+I90+K90</f>
        <v>193400</v>
      </c>
      <c r="E90" s="24">
        <f t="shared" si="88"/>
        <v>193400</v>
      </c>
      <c r="F90" s="24">
        <f t="shared" si="88"/>
        <v>0</v>
      </c>
      <c r="G90" s="24">
        <f t="shared" si="88"/>
        <v>0</v>
      </c>
      <c r="H90" s="24">
        <f t="shared" si="88"/>
        <v>0</v>
      </c>
      <c r="I90" s="24">
        <f t="shared" si="88"/>
        <v>0</v>
      </c>
      <c r="J90" s="24">
        <f t="shared" si="88"/>
        <v>0</v>
      </c>
      <c r="K90" s="24">
        <f>S90+AA90+AI90+AQ90</f>
        <v>0</v>
      </c>
      <c r="L90" s="548">
        <f>SUM(M90:S90)</f>
        <v>48400</v>
      </c>
      <c r="M90" s="16">
        <v>48400</v>
      </c>
      <c r="N90" s="14">
        <v>0</v>
      </c>
      <c r="O90" s="14">
        <v>0</v>
      </c>
      <c r="P90" s="14">
        <f>54650-54650</f>
        <v>0</v>
      </c>
      <c r="Q90" s="14">
        <v>0</v>
      </c>
      <c r="R90" s="14">
        <v>0</v>
      </c>
      <c r="S90" s="16">
        <v>0</v>
      </c>
      <c r="T90" s="502">
        <f aca="true" t="shared" si="95" ref="T90:T99">U90+V90+W90+X90+Y90+Z90+AA90</f>
        <v>48400</v>
      </c>
      <c r="U90" s="16">
        <v>48400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502">
        <f t="shared" si="91"/>
        <v>48400</v>
      </c>
      <c r="AC90" s="16">
        <v>48400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502">
        <f t="shared" si="93"/>
        <v>48200</v>
      </c>
      <c r="AK90" s="16">
        <v>48200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</row>
    <row r="91" spans="1:43" ht="32.25" customHeight="1">
      <c r="A91" s="532" t="s">
        <v>783</v>
      </c>
      <c r="B91" s="533" t="s">
        <v>449</v>
      </c>
      <c r="C91" s="480" t="s">
        <v>599</v>
      </c>
      <c r="D91" s="534">
        <f aca="true" t="shared" si="96" ref="D91:D98">E91+F91+G91+H91+I91+J91+K91</f>
        <v>3054334.65</v>
      </c>
      <c r="E91" s="535">
        <f t="shared" si="88"/>
        <v>0</v>
      </c>
      <c r="F91" s="535">
        <f t="shared" si="88"/>
        <v>912034.65</v>
      </c>
      <c r="G91" s="535">
        <f t="shared" si="88"/>
        <v>0</v>
      </c>
      <c r="H91" s="535">
        <f t="shared" si="88"/>
        <v>642300</v>
      </c>
      <c r="I91" s="731">
        <f t="shared" si="88"/>
        <v>1500000</v>
      </c>
      <c r="J91" s="535">
        <f t="shared" si="88"/>
        <v>0</v>
      </c>
      <c r="K91" s="535">
        <f>S91+AA91+AI91+AQ91</f>
        <v>0</v>
      </c>
      <c r="L91" s="534">
        <f aca="true" t="shared" si="97" ref="L91:L98">M91+N91+O91+P91+Q91+R91+S91</f>
        <v>165024.39</v>
      </c>
      <c r="M91" s="536">
        <f aca="true" t="shared" si="98" ref="M91:S91">M92+M99</f>
        <v>0</v>
      </c>
      <c r="N91" s="536">
        <f t="shared" si="98"/>
        <v>23324.39</v>
      </c>
      <c r="O91" s="536">
        <f t="shared" si="98"/>
        <v>0</v>
      </c>
      <c r="P91" s="536">
        <f t="shared" si="98"/>
        <v>141700</v>
      </c>
      <c r="Q91" s="536">
        <f t="shared" si="98"/>
        <v>0</v>
      </c>
      <c r="R91" s="536">
        <f t="shared" si="98"/>
        <v>0</v>
      </c>
      <c r="S91" s="536">
        <f t="shared" si="98"/>
        <v>0</v>
      </c>
      <c r="T91" s="496">
        <f t="shared" si="95"/>
        <v>2304510.26</v>
      </c>
      <c r="U91" s="536">
        <f aca="true" t="shared" si="99" ref="U91:AA91">U92+U99</f>
        <v>0</v>
      </c>
      <c r="V91" s="536">
        <f t="shared" si="99"/>
        <v>613710.26</v>
      </c>
      <c r="W91" s="536">
        <f t="shared" si="99"/>
        <v>0</v>
      </c>
      <c r="X91" s="536">
        <f t="shared" si="99"/>
        <v>190800</v>
      </c>
      <c r="Y91" s="728">
        <f t="shared" si="99"/>
        <v>1500000</v>
      </c>
      <c r="Z91" s="536">
        <f t="shared" si="99"/>
        <v>0</v>
      </c>
      <c r="AA91" s="536">
        <f t="shared" si="99"/>
        <v>0</v>
      </c>
      <c r="AB91" s="496">
        <f t="shared" si="91"/>
        <v>432100</v>
      </c>
      <c r="AC91" s="536">
        <f aca="true" t="shared" si="100" ref="AC91:AI91">AC92+AC99</f>
        <v>0</v>
      </c>
      <c r="AD91" s="536">
        <f t="shared" si="100"/>
        <v>275000</v>
      </c>
      <c r="AE91" s="536">
        <f t="shared" si="100"/>
        <v>0</v>
      </c>
      <c r="AF91" s="536">
        <f t="shared" si="100"/>
        <v>157100</v>
      </c>
      <c r="AG91" s="536">
        <f t="shared" si="100"/>
        <v>0</v>
      </c>
      <c r="AH91" s="536">
        <f t="shared" si="100"/>
        <v>0</v>
      </c>
      <c r="AI91" s="536">
        <f t="shared" si="100"/>
        <v>0</v>
      </c>
      <c r="AJ91" s="496">
        <f t="shared" si="93"/>
        <v>152700</v>
      </c>
      <c r="AK91" s="536">
        <f aca="true" t="shared" si="101" ref="AK91:AQ91">AK92+AK99</f>
        <v>0</v>
      </c>
      <c r="AL91" s="536">
        <f t="shared" si="101"/>
        <v>0</v>
      </c>
      <c r="AM91" s="536">
        <f t="shared" si="101"/>
        <v>0</v>
      </c>
      <c r="AN91" s="536">
        <f t="shared" si="101"/>
        <v>152700</v>
      </c>
      <c r="AO91" s="536">
        <f t="shared" si="101"/>
        <v>0</v>
      </c>
      <c r="AP91" s="536">
        <f t="shared" si="101"/>
        <v>0</v>
      </c>
      <c r="AQ91" s="536">
        <f t="shared" si="101"/>
        <v>0</v>
      </c>
    </row>
    <row r="92" spans="1:43" ht="32.25" customHeight="1">
      <c r="A92" s="704" t="s">
        <v>784</v>
      </c>
      <c r="B92" s="705" t="s">
        <v>598</v>
      </c>
      <c r="C92" s="706">
        <v>310</v>
      </c>
      <c r="D92" s="518">
        <f t="shared" si="96"/>
        <v>2460500</v>
      </c>
      <c r="E92" s="703">
        <f t="shared" si="88"/>
        <v>0</v>
      </c>
      <c r="F92" s="513">
        <f t="shared" si="88"/>
        <v>830000</v>
      </c>
      <c r="G92" s="513">
        <f t="shared" si="88"/>
        <v>0</v>
      </c>
      <c r="H92" s="513">
        <f t="shared" si="88"/>
        <v>130500</v>
      </c>
      <c r="I92" s="732">
        <f t="shared" si="88"/>
        <v>1500000</v>
      </c>
      <c r="J92" s="513">
        <f t="shared" si="88"/>
        <v>0</v>
      </c>
      <c r="K92" s="513">
        <f>S92+AA92+AI92+AQ92</f>
        <v>0</v>
      </c>
      <c r="L92" s="523">
        <f t="shared" si="97"/>
        <v>40300</v>
      </c>
      <c r="M92" s="518">
        <f aca="true" t="shared" si="102" ref="M92:S92">SUM(M93:M98)</f>
        <v>0</v>
      </c>
      <c r="N92" s="518">
        <f t="shared" si="102"/>
        <v>0</v>
      </c>
      <c r="O92" s="518">
        <f t="shared" si="102"/>
        <v>0</v>
      </c>
      <c r="P92" s="518">
        <f t="shared" si="102"/>
        <v>40300</v>
      </c>
      <c r="Q92" s="518">
        <f t="shared" si="102"/>
        <v>0</v>
      </c>
      <c r="R92" s="518">
        <f t="shared" si="102"/>
        <v>0</v>
      </c>
      <c r="S92" s="518">
        <f t="shared" si="102"/>
        <v>0</v>
      </c>
      <c r="T92" s="496">
        <f t="shared" si="95"/>
        <v>2100100</v>
      </c>
      <c r="U92" s="518">
        <f aca="true" t="shared" si="103" ref="U92:AA92">SUM(U93:U98)</f>
        <v>0</v>
      </c>
      <c r="V92" s="518">
        <f t="shared" si="103"/>
        <v>555000</v>
      </c>
      <c r="W92" s="518">
        <f t="shared" si="103"/>
        <v>0</v>
      </c>
      <c r="X92" s="518">
        <f t="shared" si="103"/>
        <v>45100</v>
      </c>
      <c r="Y92" s="727">
        <f t="shared" si="103"/>
        <v>1500000</v>
      </c>
      <c r="Z92" s="518">
        <f t="shared" si="103"/>
        <v>0</v>
      </c>
      <c r="AA92" s="518">
        <f t="shared" si="103"/>
        <v>0</v>
      </c>
      <c r="AB92" s="496">
        <f t="shared" si="91"/>
        <v>312000</v>
      </c>
      <c r="AC92" s="518">
        <f aca="true" t="shared" si="104" ref="AC92:AI92">SUM(AC93:AC98)</f>
        <v>0</v>
      </c>
      <c r="AD92" s="518">
        <f t="shared" si="104"/>
        <v>275000</v>
      </c>
      <c r="AE92" s="518">
        <f t="shared" si="104"/>
        <v>0</v>
      </c>
      <c r="AF92" s="518">
        <f t="shared" si="104"/>
        <v>37000</v>
      </c>
      <c r="AG92" s="518">
        <f t="shared" si="104"/>
        <v>0</v>
      </c>
      <c r="AH92" s="518">
        <f t="shared" si="104"/>
        <v>0</v>
      </c>
      <c r="AI92" s="518">
        <f t="shared" si="104"/>
        <v>0</v>
      </c>
      <c r="AJ92" s="496">
        <f t="shared" si="93"/>
        <v>8100</v>
      </c>
      <c r="AK92" s="518">
        <f aca="true" t="shared" si="105" ref="AK92:AQ92">SUM(AK93:AK98)</f>
        <v>0</v>
      </c>
      <c r="AL92" s="518">
        <f t="shared" si="105"/>
        <v>0</v>
      </c>
      <c r="AM92" s="518">
        <f t="shared" si="105"/>
        <v>0</v>
      </c>
      <c r="AN92" s="518">
        <f t="shared" si="105"/>
        <v>8100</v>
      </c>
      <c r="AO92" s="518">
        <f t="shared" si="105"/>
        <v>0</v>
      </c>
      <c r="AP92" s="518">
        <f t="shared" si="105"/>
        <v>0</v>
      </c>
      <c r="AQ92" s="518">
        <f t="shared" si="105"/>
        <v>0</v>
      </c>
    </row>
    <row r="93" spans="1:43" ht="21.75" customHeight="1">
      <c r="A93" s="312" t="s">
        <v>794</v>
      </c>
      <c r="B93" s="537" t="s">
        <v>612</v>
      </c>
      <c r="C93" s="481" t="s">
        <v>102</v>
      </c>
      <c r="D93" s="308">
        <f t="shared" si="96"/>
        <v>0</v>
      </c>
      <c r="E93" s="24">
        <f aca="true" t="shared" si="106" ref="E93:K98">M93+U93+AC93+AK93</f>
        <v>0</v>
      </c>
      <c r="F93" s="24">
        <f t="shared" si="106"/>
        <v>0</v>
      </c>
      <c r="G93" s="24">
        <f t="shared" si="106"/>
        <v>0</v>
      </c>
      <c r="H93" s="24">
        <f t="shared" si="106"/>
        <v>0</v>
      </c>
      <c r="I93" s="24">
        <f t="shared" si="106"/>
        <v>0</v>
      </c>
      <c r="J93" s="24">
        <f t="shared" si="106"/>
        <v>0</v>
      </c>
      <c r="K93" s="24">
        <f t="shared" si="106"/>
        <v>0</v>
      </c>
      <c r="L93" s="523">
        <f t="shared" si="97"/>
        <v>0</v>
      </c>
      <c r="M93" s="503">
        <v>0</v>
      </c>
      <c r="N93" s="503">
        <v>0</v>
      </c>
      <c r="O93" s="503">
        <v>0</v>
      </c>
      <c r="P93" s="503">
        <v>0</v>
      </c>
      <c r="Q93" s="503">
        <v>0</v>
      </c>
      <c r="R93" s="538">
        <v>0</v>
      </c>
      <c r="S93" s="503">
        <v>0</v>
      </c>
      <c r="T93" s="496">
        <f t="shared" si="95"/>
        <v>0</v>
      </c>
      <c r="U93" s="503">
        <v>0</v>
      </c>
      <c r="V93" s="503">
        <f>6000-6000</f>
        <v>0</v>
      </c>
      <c r="W93" s="503">
        <v>0</v>
      </c>
      <c r="X93" s="503">
        <v>0</v>
      </c>
      <c r="Y93" s="503">
        <v>0</v>
      </c>
      <c r="Z93" s="503">
        <v>0</v>
      </c>
      <c r="AA93" s="503">
        <v>0</v>
      </c>
      <c r="AB93" s="496">
        <f t="shared" si="91"/>
        <v>0</v>
      </c>
      <c r="AC93" s="503">
        <v>0</v>
      </c>
      <c r="AD93" s="503">
        <v>0</v>
      </c>
      <c r="AE93" s="503">
        <v>0</v>
      </c>
      <c r="AF93" s="503">
        <v>0</v>
      </c>
      <c r="AG93" s="503">
        <v>0</v>
      </c>
      <c r="AH93" s="503">
        <v>0</v>
      </c>
      <c r="AI93" s="503">
        <v>0</v>
      </c>
      <c r="AJ93" s="496">
        <f t="shared" si="93"/>
        <v>0</v>
      </c>
      <c r="AK93" s="503">
        <v>0</v>
      </c>
      <c r="AL93" s="503">
        <v>0</v>
      </c>
      <c r="AM93" s="503">
        <v>0</v>
      </c>
      <c r="AN93" s="503">
        <v>0</v>
      </c>
      <c r="AO93" s="503">
        <v>0</v>
      </c>
      <c r="AP93" s="503">
        <v>0</v>
      </c>
      <c r="AQ93" s="503">
        <v>0</v>
      </c>
    </row>
    <row r="94" spans="1:43" ht="39" customHeight="1">
      <c r="A94" s="312" t="s">
        <v>795</v>
      </c>
      <c r="B94" s="537" t="s">
        <v>806</v>
      </c>
      <c r="C94" s="481" t="s">
        <v>102</v>
      </c>
      <c r="D94" s="308">
        <f t="shared" si="96"/>
        <v>63500</v>
      </c>
      <c r="E94" s="24">
        <f t="shared" si="106"/>
        <v>0</v>
      </c>
      <c r="F94" s="24">
        <f t="shared" si="106"/>
        <v>0</v>
      </c>
      <c r="G94" s="24">
        <f t="shared" si="106"/>
        <v>0</v>
      </c>
      <c r="H94" s="24">
        <f t="shared" si="106"/>
        <v>63500</v>
      </c>
      <c r="I94" s="24">
        <f t="shared" si="106"/>
        <v>0</v>
      </c>
      <c r="J94" s="24">
        <f t="shared" si="106"/>
        <v>0</v>
      </c>
      <c r="K94" s="24">
        <f t="shared" si="106"/>
        <v>0</v>
      </c>
      <c r="L94" s="523">
        <f t="shared" si="97"/>
        <v>5900</v>
      </c>
      <c r="M94" s="503">
        <v>0</v>
      </c>
      <c r="N94" s="503">
        <v>0</v>
      </c>
      <c r="O94" s="503">
        <v>0</v>
      </c>
      <c r="P94" s="503">
        <f>4000+1900</f>
        <v>5900</v>
      </c>
      <c r="Q94" s="503">
        <v>0</v>
      </c>
      <c r="R94" s="538">
        <v>0</v>
      </c>
      <c r="S94" s="503">
        <f>21900-20000-1900</f>
        <v>0</v>
      </c>
      <c r="T94" s="496">
        <f t="shared" si="95"/>
        <v>45100</v>
      </c>
      <c r="U94" s="503">
        <v>0</v>
      </c>
      <c r="V94" s="503">
        <v>0</v>
      </c>
      <c r="W94" s="503">
        <v>0</v>
      </c>
      <c r="X94" s="503">
        <f>23500+21600</f>
        <v>45100</v>
      </c>
      <c r="Y94" s="503">
        <v>0</v>
      </c>
      <c r="Z94" s="503">
        <v>0</v>
      </c>
      <c r="AA94" s="503">
        <f>30000-10000-4000+5600-21600</f>
        <v>0</v>
      </c>
      <c r="AB94" s="496">
        <f t="shared" si="91"/>
        <v>4400</v>
      </c>
      <c r="AC94" s="503">
        <v>0</v>
      </c>
      <c r="AD94" s="503">
        <v>0</v>
      </c>
      <c r="AE94" s="503">
        <v>0</v>
      </c>
      <c r="AF94" s="503">
        <f>10000-5600</f>
        <v>4400</v>
      </c>
      <c r="AG94" s="503">
        <v>0</v>
      </c>
      <c r="AH94" s="503">
        <v>0</v>
      </c>
      <c r="AI94" s="503">
        <v>0</v>
      </c>
      <c r="AJ94" s="496">
        <f t="shared" si="93"/>
        <v>8100</v>
      </c>
      <c r="AK94" s="503">
        <v>0</v>
      </c>
      <c r="AL94" s="503">
        <v>0</v>
      </c>
      <c r="AM94" s="503">
        <v>0</v>
      </c>
      <c r="AN94" s="503">
        <v>8100</v>
      </c>
      <c r="AO94" s="503">
        <v>0</v>
      </c>
      <c r="AP94" s="503">
        <v>0</v>
      </c>
      <c r="AQ94" s="503">
        <v>0</v>
      </c>
    </row>
    <row r="95" spans="1:43" ht="43.5" customHeight="1">
      <c r="A95" s="312" t="s">
        <v>796</v>
      </c>
      <c r="B95" s="537" t="s">
        <v>919</v>
      </c>
      <c r="C95" s="481" t="s">
        <v>102</v>
      </c>
      <c r="D95" s="308">
        <f t="shared" si="96"/>
        <v>67000</v>
      </c>
      <c r="E95" s="24">
        <f>M95+U95+AC95+AK95</f>
        <v>0</v>
      </c>
      <c r="F95" s="24">
        <f aca="true" t="shared" si="107" ref="E95:K97">N95+V95+AD95+AL95</f>
        <v>0</v>
      </c>
      <c r="G95" s="24">
        <f t="shared" si="107"/>
        <v>0</v>
      </c>
      <c r="H95" s="24">
        <f t="shared" si="107"/>
        <v>67000</v>
      </c>
      <c r="I95" s="24">
        <f t="shared" si="107"/>
        <v>0</v>
      </c>
      <c r="J95" s="24">
        <f t="shared" si="107"/>
        <v>0</v>
      </c>
      <c r="K95" s="24">
        <f t="shared" si="107"/>
        <v>0</v>
      </c>
      <c r="L95" s="523">
        <f t="shared" si="97"/>
        <v>34400</v>
      </c>
      <c r="M95" s="503">
        <v>0</v>
      </c>
      <c r="N95" s="503">
        <v>0</v>
      </c>
      <c r="O95" s="503">
        <v>0</v>
      </c>
      <c r="P95" s="503">
        <f>10000+4400+20000</f>
        <v>34400</v>
      </c>
      <c r="Q95" s="503">
        <v>0</v>
      </c>
      <c r="R95" s="538">
        <v>0</v>
      </c>
      <c r="S95" s="503">
        <f>20000-20000</f>
        <v>0</v>
      </c>
      <c r="T95" s="496">
        <f>U95+V95+W95+X95+Y95+Z95+AA95</f>
        <v>0</v>
      </c>
      <c r="U95" s="503">
        <v>0</v>
      </c>
      <c r="V95" s="503">
        <v>0</v>
      </c>
      <c r="W95" s="503">
        <v>0</v>
      </c>
      <c r="X95" s="503">
        <v>0</v>
      </c>
      <c r="Y95" s="503">
        <v>0</v>
      </c>
      <c r="Z95" s="503">
        <v>0</v>
      </c>
      <c r="AA95" s="503">
        <f>10000-4400-5600</f>
        <v>0</v>
      </c>
      <c r="AB95" s="496">
        <f>SUM(AC95:AI95)</f>
        <v>32600</v>
      </c>
      <c r="AC95" s="503">
        <v>0</v>
      </c>
      <c r="AD95" s="503">
        <v>0</v>
      </c>
      <c r="AE95" s="503">
        <v>0</v>
      </c>
      <c r="AF95" s="503">
        <f>37000-10000+5600</f>
        <v>32600</v>
      </c>
      <c r="AG95" s="503">
        <v>0</v>
      </c>
      <c r="AH95" s="503">
        <v>0</v>
      </c>
      <c r="AI95" s="503">
        <v>0</v>
      </c>
      <c r="AJ95" s="496">
        <f>SUM(AK95:AQ95)</f>
        <v>0</v>
      </c>
      <c r="AK95" s="503">
        <v>0</v>
      </c>
      <c r="AL95" s="503">
        <v>0</v>
      </c>
      <c r="AM95" s="503">
        <v>0</v>
      </c>
      <c r="AN95" s="503">
        <v>0</v>
      </c>
      <c r="AO95" s="503">
        <v>0</v>
      </c>
      <c r="AP95" s="503">
        <v>0</v>
      </c>
      <c r="AQ95" s="503">
        <v>0</v>
      </c>
    </row>
    <row r="96" spans="1:43" ht="29.25" customHeight="1">
      <c r="A96" s="312" t="s">
        <v>1094</v>
      </c>
      <c r="B96" s="537" t="s">
        <v>1025</v>
      </c>
      <c r="C96" s="481" t="s">
        <v>102</v>
      </c>
      <c r="D96" s="308">
        <f>E96+F96+G96+H96+I96+J96+K96</f>
        <v>555000</v>
      </c>
      <c r="E96" s="24">
        <f>M96+U96+AC96+AK96</f>
        <v>0</v>
      </c>
      <c r="F96" s="24">
        <f aca="true" t="shared" si="108" ref="F96:K96">N96+V96+AD96+AL96</f>
        <v>555000</v>
      </c>
      <c r="G96" s="24">
        <f t="shared" si="108"/>
        <v>0</v>
      </c>
      <c r="H96" s="24">
        <f t="shared" si="108"/>
        <v>0</v>
      </c>
      <c r="I96" s="24">
        <f t="shared" si="108"/>
        <v>0</v>
      </c>
      <c r="J96" s="24">
        <f t="shared" si="108"/>
        <v>0</v>
      </c>
      <c r="K96" s="24">
        <f t="shared" si="108"/>
        <v>0</v>
      </c>
      <c r="L96" s="523">
        <f>M96+N96+O96+P96+Q96+R96+S96</f>
        <v>0</v>
      </c>
      <c r="M96" s="503">
        <v>0</v>
      </c>
      <c r="N96" s="503">
        <v>0</v>
      </c>
      <c r="O96" s="503">
        <v>0</v>
      </c>
      <c r="P96" s="503">
        <v>0</v>
      </c>
      <c r="Q96" s="503">
        <v>0</v>
      </c>
      <c r="R96" s="538">
        <v>0</v>
      </c>
      <c r="S96" s="503">
        <v>0</v>
      </c>
      <c r="T96" s="496">
        <f>U96+V96+W96+X96+Y96+Z96+AA96</f>
        <v>555000</v>
      </c>
      <c r="U96" s="503">
        <v>0</v>
      </c>
      <c r="V96" s="503">
        <v>555000</v>
      </c>
      <c r="W96" s="503">
        <v>0</v>
      </c>
      <c r="X96" s="503">
        <v>0</v>
      </c>
      <c r="Y96" s="503">
        <v>0</v>
      </c>
      <c r="Z96" s="503">
        <v>0</v>
      </c>
      <c r="AA96" s="503">
        <v>0</v>
      </c>
      <c r="AB96" s="496">
        <f>SUM(AC96:AI96)</f>
        <v>0</v>
      </c>
      <c r="AC96" s="503">
        <v>0</v>
      </c>
      <c r="AD96" s="503">
        <v>0</v>
      </c>
      <c r="AE96" s="503">
        <v>0</v>
      </c>
      <c r="AF96" s="503">
        <v>0</v>
      </c>
      <c r="AG96" s="503">
        <v>0</v>
      </c>
      <c r="AH96" s="503">
        <v>0</v>
      </c>
      <c r="AI96" s="503">
        <v>0</v>
      </c>
      <c r="AJ96" s="496">
        <f>SUM(AK96:AQ96)</f>
        <v>0</v>
      </c>
      <c r="AK96" s="503">
        <v>0</v>
      </c>
      <c r="AL96" s="503">
        <v>0</v>
      </c>
      <c r="AM96" s="503">
        <v>0</v>
      </c>
      <c r="AN96" s="503">
        <v>0</v>
      </c>
      <c r="AO96" s="503">
        <v>0</v>
      </c>
      <c r="AP96" s="503">
        <v>0</v>
      </c>
      <c r="AQ96" s="503">
        <v>0</v>
      </c>
    </row>
    <row r="97" spans="1:43" ht="33" customHeight="1">
      <c r="A97" s="312" t="s">
        <v>1093</v>
      </c>
      <c r="B97" s="537" t="s">
        <v>1095</v>
      </c>
      <c r="C97" s="481" t="s">
        <v>102</v>
      </c>
      <c r="D97" s="308">
        <f>E97+F97+G97+H97+I97+J97+K97</f>
        <v>1500000</v>
      </c>
      <c r="E97" s="24">
        <f t="shared" si="107"/>
        <v>0</v>
      </c>
      <c r="F97" s="24">
        <f t="shared" si="107"/>
        <v>0</v>
      </c>
      <c r="G97" s="24">
        <f t="shared" si="107"/>
        <v>0</v>
      </c>
      <c r="H97" s="24">
        <f t="shared" si="107"/>
        <v>0</v>
      </c>
      <c r="I97" s="733">
        <f t="shared" si="107"/>
        <v>1500000</v>
      </c>
      <c r="J97" s="24">
        <f t="shared" si="107"/>
        <v>0</v>
      </c>
      <c r="K97" s="24">
        <f t="shared" si="107"/>
        <v>0</v>
      </c>
      <c r="L97" s="523">
        <f>M97+N97+O97+P97+Q97+R97+S97</f>
        <v>0</v>
      </c>
      <c r="M97" s="503">
        <v>0</v>
      </c>
      <c r="N97" s="503">
        <v>0</v>
      </c>
      <c r="O97" s="503">
        <v>0</v>
      </c>
      <c r="P97" s="503">
        <v>0</v>
      </c>
      <c r="Q97" s="503">
        <v>0</v>
      </c>
      <c r="R97" s="538">
        <v>0</v>
      </c>
      <c r="S97" s="503">
        <v>0</v>
      </c>
      <c r="T97" s="496">
        <f>U97+V97+W97+X97+Y97+Z97+AA97</f>
        <v>1500000</v>
      </c>
      <c r="U97" s="503">
        <v>0</v>
      </c>
      <c r="V97" s="503">
        <v>0</v>
      </c>
      <c r="W97" s="503">
        <v>0</v>
      </c>
      <c r="X97" s="503">
        <v>0</v>
      </c>
      <c r="Y97" s="726">
        <v>1500000</v>
      </c>
      <c r="Z97" s="503">
        <v>0</v>
      </c>
      <c r="AA97" s="503">
        <v>0</v>
      </c>
      <c r="AB97" s="496">
        <f>SUM(AC97:AI97)</f>
        <v>0</v>
      </c>
      <c r="AC97" s="503">
        <v>0</v>
      </c>
      <c r="AD97" s="503">
        <v>0</v>
      </c>
      <c r="AE97" s="503">
        <v>0</v>
      </c>
      <c r="AF97" s="503">
        <v>0</v>
      </c>
      <c r="AG97" s="503">
        <v>0</v>
      </c>
      <c r="AH97" s="503">
        <v>0</v>
      </c>
      <c r="AI97" s="503">
        <v>0</v>
      </c>
      <c r="AJ97" s="496">
        <f>SUM(AK97:AQ97)</f>
        <v>0</v>
      </c>
      <c r="AK97" s="503">
        <v>0</v>
      </c>
      <c r="AL97" s="503">
        <v>0</v>
      </c>
      <c r="AM97" s="503">
        <v>0</v>
      </c>
      <c r="AN97" s="503">
        <v>0</v>
      </c>
      <c r="AO97" s="503">
        <v>0</v>
      </c>
      <c r="AP97" s="503">
        <v>0</v>
      </c>
      <c r="AQ97" s="503">
        <v>0</v>
      </c>
    </row>
    <row r="98" spans="1:43" ht="67.5" customHeight="1">
      <c r="A98" s="312" t="s">
        <v>1105</v>
      </c>
      <c r="B98" s="537" t="s">
        <v>1113</v>
      </c>
      <c r="C98" s="481" t="s">
        <v>102</v>
      </c>
      <c r="D98" s="308">
        <f t="shared" si="96"/>
        <v>275000</v>
      </c>
      <c r="E98" s="24">
        <f t="shared" si="106"/>
        <v>0</v>
      </c>
      <c r="F98" s="24">
        <f t="shared" si="106"/>
        <v>275000</v>
      </c>
      <c r="G98" s="24">
        <f t="shared" si="106"/>
        <v>0</v>
      </c>
      <c r="H98" s="24">
        <f t="shared" si="106"/>
        <v>0</v>
      </c>
      <c r="I98" s="24">
        <f t="shared" si="106"/>
        <v>0</v>
      </c>
      <c r="J98" s="24">
        <f t="shared" si="106"/>
        <v>0</v>
      </c>
      <c r="K98" s="24">
        <f t="shared" si="106"/>
        <v>0</v>
      </c>
      <c r="L98" s="523">
        <f t="shared" si="97"/>
        <v>0</v>
      </c>
      <c r="M98" s="503">
        <v>0</v>
      </c>
      <c r="N98" s="503">
        <v>0</v>
      </c>
      <c r="O98" s="503">
        <v>0</v>
      </c>
      <c r="P98" s="503">
        <v>0</v>
      </c>
      <c r="Q98" s="503">
        <v>0</v>
      </c>
      <c r="R98" s="538">
        <v>0</v>
      </c>
      <c r="S98" s="503">
        <v>0</v>
      </c>
      <c r="T98" s="496">
        <f t="shared" si="95"/>
        <v>0</v>
      </c>
      <c r="U98" s="503">
        <v>0</v>
      </c>
      <c r="V98" s="503">
        <v>0</v>
      </c>
      <c r="W98" s="503">
        <v>0</v>
      </c>
      <c r="X98" s="503">
        <v>0</v>
      </c>
      <c r="Y98" s="503">
        <v>0</v>
      </c>
      <c r="Z98" s="503">
        <v>0</v>
      </c>
      <c r="AA98" s="503">
        <v>0</v>
      </c>
      <c r="AB98" s="496">
        <f t="shared" si="91"/>
        <v>275000</v>
      </c>
      <c r="AC98" s="503">
        <v>0</v>
      </c>
      <c r="AD98" s="503">
        <v>275000</v>
      </c>
      <c r="AE98" s="503">
        <v>0</v>
      </c>
      <c r="AF98" s="503">
        <v>0</v>
      </c>
      <c r="AG98" s="503">
        <v>0</v>
      </c>
      <c r="AH98" s="503">
        <v>0</v>
      </c>
      <c r="AI98" s="503">
        <v>0</v>
      </c>
      <c r="AJ98" s="496">
        <f t="shared" si="93"/>
        <v>0</v>
      </c>
      <c r="AK98" s="503">
        <v>0</v>
      </c>
      <c r="AL98" s="503">
        <v>0</v>
      </c>
      <c r="AM98" s="503">
        <v>0</v>
      </c>
      <c r="AN98" s="503">
        <v>0</v>
      </c>
      <c r="AO98" s="503">
        <v>0</v>
      </c>
      <c r="AP98" s="503">
        <v>0</v>
      </c>
      <c r="AQ98" s="503">
        <v>0</v>
      </c>
    </row>
    <row r="99" spans="1:43" ht="48.75" customHeight="1">
      <c r="A99" s="312" t="s">
        <v>785</v>
      </c>
      <c r="B99" s="539" t="s">
        <v>831</v>
      </c>
      <c r="C99" s="482"/>
      <c r="D99" s="546">
        <f>E99+G99+H99+I99+J99+K99+F99</f>
        <v>593834.65</v>
      </c>
      <c r="E99" s="702">
        <f>M99+U99+AC99+AK99</f>
        <v>0</v>
      </c>
      <c r="F99" s="702">
        <f>N99+V99+AD99+AL99</f>
        <v>82034.65</v>
      </c>
      <c r="G99" s="702">
        <f aca="true" t="shared" si="109" ref="G99:G107">O99+W99+AE99+AM99</f>
        <v>0</v>
      </c>
      <c r="H99" s="702">
        <f>P99+X99+AF99+AN99</f>
        <v>511800</v>
      </c>
      <c r="I99" s="702">
        <f t="shared" si="10"/>
        <v>0</v>
      </c>
      <c r="J99" s="702">
        <f t="shared" si="8"/>
        <v>0</v>
      </c>
      <c r="K99" s="702">
        <f>S99+AA99+AI99+AQ99</f>
        <v>0</v>
      </c>
      <c r="L99" s="540">
        <f>SUM(M99:S99)</f>
        <v>124724.39</v>
      </c>
      <c r="M99" s="541">
        <f>SUM(M100:M113)</f>
        <v>0</v>
      </c>
      <c r="N99" s="541">
        <f aca="true" t="shared" si="110" ref="N99:S99">SUM(N100:N113)</f>
        <v>23324.39</v>
      </c>
      <c r="O99" s="541">
        <f t="shared" si="110"/>
        <v>0</v>
      </c>
      <c r="P99" s="541">
        <f t="shared" si="110"/>
        <v>101400</v>
      </c>
      <c r="Q99" s="541">
        <f t="shared" si="110"/>
        <v>0</v>
      </c>
      <c r="R99" s="541">
        <f t="shared" si="110"/>
        <v>0</v>
      </c>
      <c r="S99" s="541">
        <f t="shared" si="110"/>
        <v>0</v>
      </c>
      <c r="T99" s="541">
        <f t="shared" si="95"/>
        <v>204410.26</v>
      </c>
      <c r="U99" s="541">
        <f>SUM(U100:U113)</f>
        <v>0</v>
      </c>
      <c r="V99" s="541">
        <f aca="true" t="shared" si="111" ref="V99:AA99">SUM(V100:V113)</f>
        <v>58710.26</v>
      </c>
      <c r="W99" s="541">
        <f t="shared" si="111"/>
        <v>0</v>
      </c>
      <c r="X99" s="541">
        <f t="shared" si="111"/>
        <v>145700</v>
      </c>
      <c r="Y99" s="541">
        <f t="shared" si="111"/>
        <v>0</v>
      </c>
      <c r="Z99" s="541">
        <f t="shared" si="111"/>
        <v>0</v>
      </c>
      <c r="AA99" s="541">
        <f t="shared" si="111"/>
        <v>0</v>
      </c>
      <c r="AB99" s="541">
        <f>SUM(AB100:AB107)+AB109</f>
        <v>100100</v>
      </c>
      <c r="AC99" s="541">
        <f aca="true" t="shared" si="112" ref="AC99:AH99">SUM(AC100:AC113)</f>
        <v>0</v>
      </c>
      <c r="AD99" s="541">
        <f t="shared" si="112"/>
        <v>0</v>
      </c>
      <c r="AE99" s="541">
        <f t="shared" si="112"/>
        <v>0</v>
      </c>
      <c r="AF99" s="541">
        <f t="shared" si="112"/>
        <v>120100</v>
      </c>
      <c r="AG99" s="541">
        <f t="shared" si="112"/>
        <v>0</v>
      </c>
      <c r="AH99" s="541">
        <f t="shared" si="112"/>
        <v>0</v>
      </c>
      <c r="AI99" s="541">
        <f>SUM(AI100:AI107)</f>
        <v>0</v>
      </c>
      <c r="AJ99" s="541">
        <f t="shared" si="93"/>
        <v>144600</v>
      </c>
      <c r="AK99" s="541">
        <f>SUM(AK100:AK113)</f>
        <v>0</v>
      </c>
      <c r="AL99" s="541">
        <f aca="true" t="shared" si="113" ref="AL99:AQ99">SUM(AL100:AL113)</f>
        <v>0</v>
      </c>
      <c r="AM99" s="541">
        <f t="shared" si="113"/>
        <v>0</v>
      </c>
      <c r="AN99" s="541">
        <f t="shared" si="113"/>
        <v>144600</v>
      </c>
      <c r="AO99" s="541">
        <f t="shared" si="113"/>
        <v>0</v>
      </c>
      <c r="AP99" s="541">
        <f t="shared" si="113"/>
        <v>0</v>
      </c>
      <c r="AQ99" s="541">
        <f t="shared" si="113"/>
        <v>0</v>
      </c>
    </row>
    <row r="100" spans="1:43" ht="25.5" customHeight="1">
      <c r="A100" s="312" t="s">
        <v>818</v>
      </c>
      <c r="B100" s="505" t="s">
        <v>104</v>
      </c>
      <c r="C100" s="483" t="s">
        <v>663</v>
      </c>
      <c r="D100" s="308">
        <f aca="true" t="shared" si="114" ref="D100:D107">E100+G100+H100+I100+J100+K100</f>
        <v>10500</v>
      </c>
      <c r="E100" s="24">
        <f aca="true" t="shared" si="115" ref="E100:E109">M100+U100+AC100+AK100</f>
        <v>0</v>
      </c>
      <c r="F100" s="24">
        <f aca="true" t="shared" si="116" ref="F100:F107">N100+V100+AD100+AL100</f>
        <v>0</v>
      </c>
      <c r="G100" s="24">
        <f t="shared" si="109"/>
        <v>0</v>
      </c>
      <c r="H100" s="24">
        <f aca="true" t="shared" si="117" ref="H100:H110">P100+X100+AF100+AN100</f>
        <v>10500</v>
      </c>
      <c r="I100" s="24">
        <f t="shared" si="10"/>
        <v>0</v>
      </c>
      <c r="J100" s="24">
        <f t="shared" si="8"/>
        <v>0</v>
      </c>
      <c r="K100" s="24">
        <f>S100+AA100+AI100+AQ100</f>
        <v>0</v>
      </c>
      <c r="L100" s="502">
        <f aca="true" t="shared" si="118" ref="L100:L107">SUM(M100:S100)</f>
        <v>3000</v>
      </c>
      <c r="M100" s="32">
        <v>0</v>
      </c>
      <c r="N100" s="14">
        <v>0</v>
      </c>
      <c r="O100" s="14">
        <v>0</v>
      </c>
      <c r="P100" s="14">
        <v>3000</v>
      </c>
      <c r="Q100" s="14">
        <v>0</v>
      </c>
      <c r="R100" s="14">
        <v>0</v>
      </c>
      <c r="S100" s="16">
        <v>0</v>
      </c>
      <c r="T100" s="502">
        <f aca="true" t="shared" si="119" ref="T100:T107">SUM(U100:AA100)</f>
        <v>3000</v>
      </c>
      <c r="U100" s="16">
        <v>0</v>
      </c>
      <c r="V100" s="16">
        <v>0</v>
      </c>
      <c r="W100" s="16">
        <v>0</v>
      </c>
      <c r="X100" s="16">
        <v>3000</v>
      </c>
      <c r="Y100" s="16">
        <v>0</v>
      </c>
      <c r="Z100" s="16">
        <v>0</v>
      </c>
      <c r="AA100" s="16">
        <v>0</v>
      </c>
      <c r="AB100" s="502">
        <f>SUM(AC100:AI100)</f>
        <v>3000</v>
      </c>
      <c r="AC100" s="16">
        <v>0</v>
      </c>
      <c r="AD100" s="16">
        <v>0</v>
      </c>
      <c r="AE100" s="16">
        <v>0</v>
      </c>
      <c r="AF100" s="16">
        <v>3000</v>
      </c>
      <c r="AG100" s="16">
        <v>0</v>
      </c>
      <c r="AH100" s="16">
        <v>0</v>
      </c>
      <c r="AI100" s="16">
        <v>0</v>
      </c>
      <c r="AJ100" s="502">
        <f t="shared" si="93"/>
        <v>1500</v>
      </c>
      <c r="AK100" s="16">
        <v>0</v>
      </c>
      <c r="AL100" s="16">
        <v>0</v>
      </c>
      <c r="AM100" s="16">
        <v>0</v>
      </c>
      <c r="AN100" s="16">
        <v>1500</v>
      </c>
      <c r="AO100" s="16">
        <v>0</v>
      </c>
      <c r="AP100" s="16">
        <v>0</v>
      </c>
      <c r="AQ100" s="16">
        <v>0</v>
      </c>
    </row>
    <row r="101" spans="1:43" ht="21" customHeight="1">
      <c r="A101" s="312" t="s">
        <v>819</v>
      </c>
      <c r="B101" s="505" t="s">
        <v>105</v>
      </c>
      <c r="C101" s="483" t="s">
        <v>663</v>
      </c>
      <c r="D101" s="308">
        <f t="shared" si="114"/>
        <v>59500</v>
      </c>
      <c r="E101" s="24">
        <f t="shared" si="115"/>
        <v>0</v>
      </c>
      <c r="F101" s="24">
        <f t="shared" si="116"/>
        <v>0</v>
      </c>
      <c r="G101" s="24">
        <f t="shared" si="109"/>
        <v>0</v>
      </c>
      <c r="H101" s="24">
        <f t="shared" si="117"/>
        <v>59500</v>
      </c>
      <c r="I101" s="24">
        <f t="shared" si="10"/>
        <v>0</v>
      </c>
      <c r="J101" s="24">
        <f t="shared" si="8"/>
        <v>0</v>
      </c>
      <c r="K101" s="24">
        <f>S101+AA101+AI101+AQ101</f>
        <v>0</v>
      </c>
      <c r="L101" s="502">
        <f t="shared" si="118"/>
        <v>18100</v>
      </c>
      <c r="M101" s="32">
        <v>0</v>
      </c>
      <c r="N101" s="14">
        <v>0</v>
      </c>
      <c r="O101" s="14">
        <v>0</v>
      </c>
      <c r="P101" s="14">
        <v>18100</v>
      </c>
      <c r="Q101" s="14">
        <v>0</v>
      </c>
      <c r="R101" s="14">
        <v>0</v>
      </c>
      <c r="S101" s="16">
        <v>0</v>
      </c>
      <c r="T101" s="502">
        <f t="shared" si="119"/>
        <v>6400</v>
      </c>
      <c r="U101" s="16">
        <v>0</v>
      </c>
      <c r="V101" s="16">
        <v>0</v>
      </c>
      <c r="W101" s="16">
        <v>0</v>
      </c>
      <c r="X101" s="16">
        <f>18100-11700</f>
        <v>6400</v>
      </c>
      <c r="Y101" s="16">
        <v>0</v>
      </c>
      <c r="Z101" s="16">
        <v>0</v>
      </c>
      <c r="AA101" s="16">
        <v>0</v>
      </c>
      <c r="AB101" s="502">
        <f aca="true" t="shared" si="120" ref="AB101:AB113">SUM(AC101:AI101)</f>
        <v>18000</v>
      </c>
      <c r="AC101" s="16">
        <v>0</v>
      </c>
      <c r="AD101" s="16">
        <v>0</v>
      </c>
      <c r="AE101" s="16">
        <v>0</v>
      </c>
      <c r="AF101" s="16">
        <v>18000</v>
      </c>
      <c r="AG101" s="16">
        <v>0</v>
      </c>
      <c r="AH101" s="16">
        <v>0</v>
      </c>
      <c r="AI101" s="16">
        <v>0</v>
      </c>
      <c r="AJ101" s="502">
        <f aca="true" t="shared" si="121" ref="AJ101:AJ113">SUM(AK101:AQ101)</f>
        <v>17000</v>
      </c>
      <c r="AK101" s="16">
        <v>0</v>
      </c>
      <c r="AL101" s="16">
        <v>0</v>
      </c>
      <c r="AM101" s="16">
        <v>0</v>
      </c>
      <c r="AN101" s="16">
        <v>17000</v>
      </c>
      <c r="AO101" s="16">
        <v>0</v>
      </c>
      <c r="AP101" s="16">
        <v>0</v>
      </c>
      <c r="AQ101" s="16">
        <v>0</v>
      </c>
    </row>
    <row r="102" spans="1:43" ht="43.5" customHeight="1">
      <c r="A102" s="312" t="s">
        <v>820</v>
      </c>
      <c r="B102" s="505" t="s">
        <v>942</v>
      </c>
      <c r="C102" s="483" t="s">
        <v>662</v>
      </c>
      <c r="D102" s="308">
        <f>E102+G102+H102+I102+J102+K102</f>
        <v>18500</v>
      </c>
      <c r="E102" s="24">
        <f aca="true" t="shared" si="122" ref="E102:K102">M102+U102+AC102+AK102</f>
        <v>0</v>
      </c>
      <c r="F102" s="24">
        <f t="shared" si="122"/>
        <v>0</v>
      </c>
      <c r="G102" s="24">
        <f t="shared" si="122"/>
        <v>0</v>
      </c>
      <c r="H102" s="24">
        <f t="shared" si="122"/>
        <v>18500</v>
      </c>
      <c r="I102" s="24">
        <f t="shared" si="122"/>
        <v>0</v>
      </c>
      <c r="J102" s="24">
        <f t="shared" si="122"/>
        <v>0</v>
      </c>
      <c r="K102" s="24">
        <f t="shared" si="122"/>
        <v>0</v>
      </c>
      <c r="L102" s="502">
        <f>SUM(M102:S102)</f>
        <v>4800</v>
      </c>
      <c r="M102" s="16">
        <v>0</v>
      </c>
      <c r="N102" s="14">
        <v>0</v>
      </c>
      <c r="O102" s="14">
        <v>0</v>
      </c>
      <c r="P102" s="14">
        <f>3000+1800</f>
        <v>4800</v>
      </c>
      <c r="Q102" s="14">
        <v>0</v>
      </c>
      <c r="R102" s="14">
        <v>0</v>
      </c>
      <c r="S102" s="16">
        <v>0</v>
      </c>
      <c r="T102" s="502">
        <f>SUM(U102:AA102)</f>
        <v>5900</v>
      </c>
      <c r="U102" s="16">
        <v>0</v>
      </c>
      <c r="V102" s="16">
        <v>0</v>
      </c>
      <c r="W102" s="16">
        <v>0</v>
      </c>
      <c r="X102" s="16">
        <f>3900+2000</f>
        <v>5900</v>
      </c>
      <c r="Y102" s="16">
        <v>0</v>
      </c>
      <c r="Z102" s="16">
        <v>0</v>
      </c>
      <c r="AA102" s="16">
        <v>0</v>
      </c>
      <c r="AB102" s="502">
        <f t="shared" si="120"/>
        <v>3900</v>
      </c>
      <c r="AC102" s="16">
        <v>0</v>
      </c>
      <c r="AD102" s="16">
        <v>0</v>
      </c>
      <c r="AE102" s="16">
        <v>0</v>
      </c>
      <c r="AF102" s="16">
        <v>3900</v>
      </c>
      <c r="AG102" s="16">
        <v>0</v>
      </c>
      <c r="AH102" s="16">
        <v>0</v>
      </c>
      <c r="AI102" s="16">
        <v>0</v>
      </c>
      <c r="AJ102" s="502">
        <f t="shared" si="121"/>
        <v>3900</v>
      </c>
      <c r="AK102" s="16">
        <v>0</v>
      </c>
      <c r="AL102" s="16">
        <v>0</v>
      </c>
      <c r="AM102" s="16">
        <v>0</v>
      </c>
      <c r="AN102" s="16">
        <v>3900</v>
      </c>
      <c r="AO102" s="16">
        <v>0</v>
      </c>
      <c r="AP102" s="16">
        <v>0</v>
      </c>
      <c r="AQ102" s="16">
        <v>0</v>
      </c>
    </row>
    <row r="103" spans="1:43" ht="53.25" customHeight="1">
      <c r="A103" s="312" t="s">
        <v>821</v>
      </c>
      <c r="B103" s="505" t="s">
        <v>1076</v>
      </c>
      <c r="C103" s="483" t="s">
        <v>662</v>
      </c>
      <c r="D103" s="308">
        <f t="shared" si="114"/>
        <v>46650</v>
      </c>
      <c r="E103" s="24">
        <f t="shared" si="115"/>
        <v>0</v>
      </c>
      <c r="F103" s="24">
        <f t="shared" si="116"/>
        <v>0</v>
      </c>
      <c r="G103" s="24">
        <f t="shared" si="109"/>
        <v>0</v>
      </c>
      <c r="H103" s="24">
        <f t="shared" si="117"/>
        <v>46650</v>
      </c>
      <c r="I103" s="24">
        <f t="shared" si="10"/>
        <v>0</v>
      </c>
      <c r="J103" s="24">
        <f t="shared" si="8"/>
        <v>0</v>
      </c>
      <c r="K103" s="24">
        <f>S103+AA103+AI103+AQ103</f>
        <v>0</v>
      </c>
      <c r="L103" s="502">
        <f t="shared" si="118"/>
        <v>11950</v>
      </c>
      <c r="M103" s="16">
        <v>0</v>
      </c>
      <c r="N103" s="14">
        <v>0</v>
      </c>
      <c r="O103" s="14">
        <v>0</v>
      </c>
      <c r="P103" s="14">
        <f>15200-5250+2000</f>
        <v>11950</v>
      </c>
      <c r="Q103" s="14">
        <v>0</v>
      </c>
      <c r="R103" s="14">
        <v>0</v>
      </c>
      <c r="S103" s="16">
        <v>0</v>
      </c>
      <c r="T103" s="502">
        <f t="shared" si="119"/>
        <v>21500</v>
      </c>
      <c r="U103" s="16">
        <v>0</v>
      </c>
      <c r="V103" s="16">
        <v>0</v>
      </c>
      <c r="W103" s="16">
        <v>0</v>
      </c>
      <c r="X103" s="16">
        <f>3500+19200-1200</f>
        <v>21500</v>
      </c>
      <c r="Y103" s="16">
        <v>0</v>
      </c>
      <c r="Z103" s="16">
        <v>0</v>
      </c>
      <c r="AA103" s="16">
        <v>0</v>
      </c>
      <c r="AB103" s="502">
        <f t="shared" si="120"/>
        <v>11200</v>
      </c>
      <c r="AC103" s="16">
        <v>0</v>
      </c>
      <c r="AD103" s="16">
        <v>0</v>
      </c>
      <c r="AE103" s="16">
        <v>0</v>
      </c>
      <c r="AF103" s="16">
        <f>1200+10000</f>
        <v>11200</v>
      </c>
      <c r="AG103" s="16">
        <v>0</v>
      </c>
      <c r="AH103" s="16">
        <v>0</v>
      </c>
      <c r="AI103" s="16">
        <v>0</v>
      </c>
      <c r="AJ103" s="502">
        <f t="shared" si="121"/>
        <v>2000</v>
      </c>
      <c r="AK103" s="16">
        <v>0</v>
      </c>
      <c r="AL103" s="16">
        <v>0</v>
      </c>
      <c r="AM103" s="16">
        <v>0</v>
      </c>
      <c r="AN103" s="16">
        <v>2000</v>
      </c>
      <c r="AO103" s="16">
        <v>0</v>
      </c>
      <c r="AP103" s="16">
        <v>0</v>
      </c>
      <c r="AQ103" s="16">
        <v>0</v>
      </c>
    </row>
    <row r="104" spans="1:43" ht="30.75" customHeight="1">
      <c r="A104" s="312" t="s">
        <v>822</v>
      </c>
      <c r="B104" s="505" t="s">
        <v>107</v>
      </c>
      <c r="C104" s="483" t="s">
        <v>662</v>
      </c>
      <c r="D104" s="308">
        <f t="shared" si="114"/>
        <v>81600</v>
      </c>
      <c r="E104" s="24">
        <f t="shared" si="115"/>
        <v>0</v>
      </c>
      <c r="F104" s="24">
        <f t="shared" si="116"/>
        <v>0</v>
      </c>
      <c r="G104" s="24">
        <f t="shared" si="109"/>
        <v>0</v>
      </c>
      <c r="H104" s="24">
        <f t="shared" si="117"/>
        <v>81600</v>
      </c>
      <c r="I104" s="24">
        <f t="shared" si="10"/>
        <v>0</v>
      </c>
      <c r="J104" s="24">
        <f t="shared" si="8"/>
        <v>0</v>
      </c>
      <c r="K104" s="24">
        <f>S104+AA104+AI104+AQ104</f>
        <v>0</v>
      </c>
      <c r="L104" s="502">
        <f t="shared" si="118"/>
        <v>13200</v>
      </c>
      <c r="M104" s="16">
        <v>0</v>
      </c>
      <c r="N104" s="14">
        <v>0</v>
      </c>
      <c r="O104" s="14">
        <v>0</v>
      </c>
      <c r="P104" s="14">
        <f>39200-24200-1800</f>
        <v>13200</v>
      </c>
      <c r="Q104" s="14">
        <v>0</v>
      </c>
      <c r="R104" s="14">
        <v>0</v>
      </c>
      <c r="S104" s="16">
        <v>0</v>
      </c>
      <c r="T104" s="502">
        <f t="shared" si="119"/>
        <v>20000</v>
      </c>
      <c r="U104" s="16">
        <v>0</v>
      </c>
      <c r="V104" s="16">
        <v>0</v>
      </c>
      <c r="W104" s="16">
        <v>0</v>
      </c>
      <c r="X104" s="16">
        <f>39200-19200</f>
        <v>20000</v>
      </c>
      <c r="Y104" s="16">
        <v>0</v>
      </c>
      <c r="Z104" s="16">
        <v>0</v>
      </c>
      <c r="AA104" s="16">
        <v>0</v>
      </c>
      <c r="AB104" s="502">
        <f t="shared" si="120"/>
        <v>9200</v>
      </c>
      <c r="AC104" s="16">
        <v>0</v>
      </c>
      <c r="AD104" s="16">
        <v>0</v>
      </c>
      <c r="AE104" s="16">
        <v>0</v>
      </c>
      <c r="AF104" s="16">
        <f>39200-30000</f>
        <v>9200</v>
      </c>
      <c r="AG104" s="16">
        <v>0</v>
      </c>
      <c r="AH104" s="16">
        <v>0</v>
      </c>
      <c r="AI104" s="16">
        <v>0</v>
      </c>
      <c r="AJ104" s="502">
        <f t="shared" si="121"/>
        <v>39200</v>
      </c>
      <c r="AK104" s="16">
        <v>0</v>
      </c>
      <c r="AL104" s="16">
        <v>0</v>
      </c>
      <c r="AM104" s="16">
        <v>0</v>
      </c>
      <c r="AN104" s="16">
        <v>39200</v>
      </c>
      <c r="AO104" s="16">
        <v>0</v>
      </c>
      <c r="AP104" s="16">
        <v>0</v>
      </c>
      <c r="AQ104" s="16">
        <v>0</v>
      </c>
    </row>
    <row r="105" spans="1:43" ht="36.75" customHeight="1">
      <c r="A105" s="312" t="s">
        <v>823</v>
      </c>
      <c r="B105" s="505" t="s">
        <v>808</v>
      </c>
      <c r="C105" s="483" t="s">
        <v>662</v>
      </c>
      <c r="D105" s="308">
        <f t="shared" si="114"/>
        <v>143400</v>
      </c>
      <c r="E105" s="24">
        <f t="shared" si="115"/>
        <v>0</v>
      </c>
      <c r="F105" s="24">
        <f t="shared" si="116"/>
        <v>0</v>
      </c>
      <c r="G105" s="24">
        <f t="shared" si="109"/>
        <v>0</v>
      </c>
      <c r="H105" s="24">
        <f t="shared" si="117"/>
        <v>143400</v>
      </c>
      <c r="I105" s="24">
        <f t="shared" si="10"/>
        <v>0</v>
      </c>
      <c r="J105" s="24">
        <f t="shared" si="8"/>
        <v>0</v>
      </c>
      <c r="K105" s="24">
        <f>S105+AA105+AI105+AQ105</f>
        <v>0</v>
      </c>
      <c r="L105" s="502">
        <f t="shared" si="118"/>
        <v>2900</v>
      </c>
      <c r="M105" s="16">
        <v>0</v>
      </c>
      <c r="N105" s="14">
        <v>0</v>
      </c>
      <c r="O105" s="14">
        <v>0</v>
      </c>
      <c r="P105" s="14">
        <f>25000-14400-7700</f>
        <v>2900</v>
      </c>
      <c r="Q105" s="14">
        <v>0</v>
      </c>
      <c r="R105" s="14">
        <v>0</v>
      </c>
      <c r="S105" s="16">
        <v>0</v>
      </c>
      <c r="T105" s="502">
        <f t="shared" si="119"/>
        <v>55500</v>
      </c>
      <c r="U105" s="16">
        <v>0</v>
      </c>
      <c r="V105" s="16">
        <v>0</v>
      </c>
      <c r="W105" s="16">
        <v>0</v>
      </c>
      <c r="X105" s="16">
        <f>53000+7000-4500</f>
        <v>55500</v>
      </c>
      <c r="Y105" s="16">
        <v>0</v>
      </c>
      <c r="Z105" s="16">
        <v>0</v>
      </c>
      <c r="AA105" s="16">
        <v>0</v>
      </c>
      <c r="AB105" s="502">
        <f t="shared" si="120"/>
        <v>45000</v>
      </c>
      <c r="AC105" s="16">
        <v>0</v>
      </c>
      <c r="AD105" s="16">
        <v>0</v>
      </c>
      <c r="AE105" s="16">
        <v>0</v>
      </c>
      <c r="AF105" s="16">
        <v>45000</v>
      </c>
      <c r="AG105" s="16">
        <v>0</v>
      </c>
      <c r="AH105" s="16">
        <v>0</v>
      </c>
      <c r="AI105" s="16">
        <v>0</v>
      </c>
      <c r="AJ105" s="502">
        <f t="shared" si="121"/>
        <v>40000</v>
      </c>
      <c r="AK105" s="16">
        <v>0</v>
      </c>
      <c r="AL105" s="16">
        <v>0</v>
      </c>
      <c r="AM105" s="16">
        <v>0</v>
      </c>
      <c r="AN105" s="16">
        <v>40000</v>
      </c>
      <c r="AO105" s="16">
        <v>0</v>
      </c>
      <c r="AP105" s="16">
        <v>0</v>
      </c>
      <c r="AQ105" s="16">
        <v>0</v>
      </c>
    </row>
    <row r="106" spans="1:43" ht="23.25" customHeight="1">
      <c r="A106" s="312" t="s">
        <v>824</v>
      </c>
      <c r="B106" s="505" t="s">
        <v>108</v>
      </c>
      <c r="C106" s="483" t="s">
        <v>662</v>
      </c>
      <c r="D106" s="308">
        <f t="shared" si="114"/>
        <v>5500</v>
      </c>
      <c r="E106" s="24">
        <f t="shared" si="115"/>
        <v>0</v>
      </c>
      <c r="F106" s="24">
        <f t="shared" si="116"/>
        <v>0</v>
      </c>
      <c r="G106" s="24">
        <f t="shared" si="109"/>
        <v>0</v>
      </c>
      <c r="H106" s="24">
        <f t="shared" si="117"/>
        <v>5500</v>
      </c>
      <c r="I106" s="24">
        <f t="shared" si="10"/>
        <v>0</v>
      </c>
      <c r="J106" s="24">
        <f t="shared" si="8"/>
        <v>0</v>
      </c>
      <c r="K106" s="24">
        <f>S106+AA106+AI106+AQ106</f>
        <v>0</v>
      </c>
      <c r="L106" s="502">
        <f t="shared" si="118"/>
        <v>0</v>
      </c>
      <c r="M106" s="16">
        <v>0</v>
      </c>
      <c r="N106" s="14">
        <v>0</v>
      </c>
      <c r="O106" s="14">
        <v>0</v>
      </c>
      <c r="P106" s="14">
        <f>2000-2000</f>
        <v>0</v>
      </c>
      <c r="Q106" s="14">
        <v>0</v>
      </c>
      <c r="R106" s="14">
        <v>0</v>
      </c>
      <c r="S106" s="16">
        <v>0</v>
      </c>
      <c r="T106" s="502">
        <f t="shared" si="119"/>
        <v>1200</v>
      </c>
      <c r="U106" s="16">
        <v>0</v>
      </c>
      <c r="V106" s="16">
        <v>0</v>
      </c>
      <c r="W106" s="16">
        <v>0</v>
      </c>
      <c r="X106" s="16">
        <v>1200</v>
      </c>
      <c r="Y106" s="16">
        <v>0</v>
      </c>
      <c r="Z106" s="16">
        <v>0</v>
      </c>
      <c r="AA106" s="16">
        <v>0</v>
      </c>
      <c r="AB106" s="502">
        <f t="shared" si="120"/>
        <v>2300</v>
      </c>
      <c r="AC106" s="16">
        <v>0</v>
      </c>
      <c r="AD106" s="16">
        <v>0</v>
      </c>
      <c r="AE106" s="16">
        <v>0</v>
      </c>
      <c r="AF106" s="16">
        <f>3500-1200</f>
        <v>2300</v>
      </c>
      <c r="AG106" s="16">
        <v>0</v>
      </c>
      <c r="AH106" s="16">
        <v>0</v>
      </c>
      <c r="AI106" s="16">
        <v>0</v>
      </c>
      <c r="AJ106" s="502">
        <f t="shared" si="121"/>
        <v>2000</v>
      </c>
      <c r="AK106" s="16">
        <v>0</v>
      </c>
      <c r="AL106" s="16">
        <v>0</v>
      </c>
      <c r="AM106" s="16">
        <v>0</v>
      </c>
      <c r="AN106" s="16">
        <v>2000</v>
      </c>
      <c r="AO106" s="16">
        <v>0</v>
      </c>
      <c r="AP106" s="16">
        <v>0</v>
      </c>
      <c r="AQ106" s="16">
        <v>0</v>
      </c>
    </row>
    <row r="107" spans="1:43" ht="47.25" customHeight="1">
      <c r="A107" s="312" t="s">
        <v>825</v>
      </c>
      <c r="B107" s="505" t="s">
        <v>109</v>
      </c>
      <c r="C107" s="483" t="s">
        <v>662</v>
      </c>
      <c r="D107" s="308">
        <f t="shared" si="114"/>
        <v>38050</v>
      </c>
      <c r="E107" s="24">
        <f t="shared" si="115"/>
        <v>0</v>
      </c>
      <c r="F107" s="24">
        <f t="shared" si="116"/>
        <v>0</v>
      </c>
      <c r="G107" s="24">
        <f t="shared" si="109"/>
        <v>0</v>
      </c>
      <c r="H107" s="24">
        <f t="shared" si="117"/>
        <v>38050</v>
      </c>
      <c r="I107" s="24">
        <v>0</v>
      </c>
      <c r="J107" s="24">
        <f t="shared" si="8"/>
        <v>0</v>
      </c>
      <c r="K107" s="24">
        <f>S107+AA107+AI107+AQ107</f>
        <v>0</v>
      </c>
      <c r="L107" s="502">
        <f t="shared" si="118"/>
        <v>13550</v>
      </c>
      <c r="M107" s="32">
        <v>0</v>
      </c>
      <c r="N107" s="14">
        <v>0</v>
      </c>
      <c r="O107" s="14">
        <v>0</v>
      </c>
      <c r="P107" s="14">
        <f>7000+4300+2250</f>
        <v>13550</v>
      </c>
      <c r="Q107" s="14">
        <v>0</v>
      </c>
      <c r="R107" s="14">
        <v>0</v>
      </c>
      <c r="S107" s="16">
        <v>0</v>
      </c>
      <c r="T107" s="502">
        <f t="shared" si="119"/>
        <v>10000</v>
      </c>
      <c r="U107" s="16">
        <v>0</v>
      </c>
      <c r="V107" s="16">
        <v>0</v>
      </c>
      <c r="W107" s="16">
        <v>0</v>
      </c>
      <c r="X107" s="16">
        <f>7500+2500</f>
        <v>10000</v>
      </c>
      <c r="Y107" s="16">
        <v>0</v>
      </c>
      <c r="Z107" s="16">
        <v>0</v>
      </c>
      <c r="AA107" s="16">
        <v>0</v>
      </c>
      <c r="AB107" s="502">
        <f t="shared" si="120"/>
        <v>7500</v>
      </c>
      <c r="AC107" s="16">
        <v>0</v>
      </c>
      <c r="AD107" s="16">
        <v>0</v>
      </c>
      <c r="AE107" s="16">
        <v>0</v>
      </c>
      <c r="AF107" s="16">
        <v>7500</v>
      </c>
      <c r="AG107" s="16">
        <v>0</v>
      </c>
      <c r="AH107" s="16">
        <v>0</v>
      </c>
      <c r="AI107" s="16">
        <v>0</v>
      </c>
      <c r="AJ107" s="502">
        <f t="shared" si="121"/>
        <v>7000</v>
      </c>
      <c r="AK107" s="16">
        <v>0</v>
      </c>
      <c r="AL107" s="16">
        <v>0</v>
      </c>
      <c r="AM107" s="16">
        <v>0</v>
      </c>
      <c r="AN107" s="16">
        <v>7000</v>
      </c>
      <c r="AO107" s="16">
        <v>0</v>
      </c>
      <c r="AP107" s="16">
        <v>0</v>
      </c>
      <c r="AQ107" s="16">
        <v>0</v>
      </c>
    </row>
    <row r="108" spans="1:43" ht="22.5" customHeight="1">
      <c r="A108" s="312" t="s">
        <v>826</v>
      </c>
      <c r="B108" s="505" t="s">
        <v>901</v>
      </c>
      <c r="C108" s="483" t="s">
        <v>662</v>
      </c>
      <c r="D108" s="308">
        <f>E108+G108+H108+I108+J108+K108+F108</f>
        <v>55441.09</v>
      </c>
      <c r="E108" s="24">
        <f t="shared" si="115"/>
        <v>0</v>
      </c>
      <c r="F108" s="24">
        <f>N108+V108+AD108+AL108</f>
        <v>11241.09</v>
      </c>
      <c r="G108" s="24">
        <f aca="true" t="shared" si="123" ref="G108:K109">O108+W108+AE108+AM108</f>
        <v>0</v>
      </c>
      <c r="H108" s="24">
        <f t="shared" si="117"/>
        <v>44200</v>
      </c>
      <c r="I108" s="24">
        <f t="shared" si="123"/>
        <v>0</v>
      </c>
      <c r="J108" s="24">
        <f t="shared" si="123"/>
        <v>0</v>
      </c>
      <c r="K108" s="24">
        <f t="shared" si="123"/>
        <v>0</v>
      </c>
      <c r="L108" s="502">
        <f aca="true" t="shared" si="124" ref="L108:L114">SUM(M108:S108)</f>
        <v>32857.39</v>
      </c>
      <c r="M108" s="32">
        <v>0</v>
      </c>
      <c r="N108" s="16">
        <f>7030.39+1627</f>
        <v>8657.39</v>
      </c>
      <c r="O108" s="14">
        <v>0</v>
      </c>
      <c r="P108" s="14">
        <v>24200</v>
      </c>
      <c r="Q108" s="14">
        <v>0</v>
      </c>
      <c r="R108" s="14">
        <v>0</v>
      </c>
      <c r="S108" s="16">
        <v>0</v>
      </c>
      <c r="T108" s="502">
        <f aca="true" t="shared" si="125" ref="T108:T114">SUM(U108:AA108)</f>
        <v>2583.7</v>
      </c>
      <c r="U108" s="16">
        <v>0</v>
      </c>
      <c r="V108" s="16">
        <f>5289.7-2706</f>
        <v>2583.7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502">
        <f t="shared" si="120"/>
        <v>20000</v>
      </c>
      <c r="AC108" s="16">
        <v>0</v>
      </c>
      <c r="AD108" s="16">
        <v>0</v>
      </c>
      <c r="AE108" s="16">
        <v>0</v>
      </c>
      <c r="AF108" s="16">
        <v>20000</v>
      </c>
      <c r="AG108" s="16">
        <v>0</v>
      </c>
      <c r="AH108" s="16">
        <v>0</v>
      </c>
      <c r="AI108" s="16">
        <v>0</v>
      </c>
      <c r="AJ108" s="502">
        <f t="shared" si="121"/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</row>
    <row r="109" spans="1:43" ht="22.5" customHeight="1">
      <c r="A109" s="312" t="s">
        <v>827</v>
      </c>
      <c r="B109" s="505" t="s">
        <v>596</v>
      </c>
      <c r="C109" s="483" t="s">
        <v>662</v>
      </c>
      <c r="D109" s="308">
        <f>+F109</f>
        <v>674</v>
      </c>
      <c r="E109" s="24">
        <f t="shared" si="115"/>
        <v>0</v>
      </c>
      <c r="F109" s="24">
        <f>N109+V109+AD109+AL109</f>
        <v>674</v>
      </c>
      <c r="G109" s="24">
        <f t="shared" si="123"/>
        <v>0</v>
      </c>
      <c r="H109" s="24">
        <f t="shared" si="117"/>
        <v>0</v>
      </c>
      <c r="I109" s="24">
        <f t="shared" si="123"/>
        <v>0</v>
      </c>
      <c r="J109" s="24">
        <v>0</v>
      </c>
      <c r="K109" s="24">
        <f t="shared" si="123"/>
        <v>0</v>
      </c>
      <c r="L109" s="502">
        <f t="shared" si="124"/>
        <v>545</v>
      </c>
      <c r="M109" s="32">
        <v>0</v>
      </c>
      <c r="N109" s="16">
        <f>16324-630-13522-1627</f>
        <v>545</v>
      </c>
      <c r="O109" s="14">
        <v>0</v>
      </c>
      <c r="P109" s="14">
        <v>0</v>
      </c>
      <c r="Q109" s="14">
        <v>0</v>
      </c>
      <c r="R109" s="14">
        <v>0</v>
      </c>
      <c r="S109" s="16">
        <v>0</v>
      </c>
      <c r="T109" s="502">
        <f t="shared" si="125"/>
        <v>129</v>
      </c>
      <c r="U109" s="16">
        <v>0</v>
      </c>
      <c r="V109" s="16">
        <f>47586.86-46586.86-871</f>
        <v>129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502">
        <f t="shared" si="120"/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502">
        <f t="shared" si="121"/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</row>
    <row r="110" spans="1:43" ht="29.25" customHeight="1">
      <c r="A110" s="312" t="s">
        <v>828</v>
      </c>
      <c r="B110" s="506" t="s">
        <v>792</v>
      </c>
      <c r="C110" s="469">
        <v>349</v>
      </c>
      <c r="D110" s="308">
        <f>E110+G110+H110+I110+J110+K110</f>
        <v>40500</v>
      </c>
      <c r="E110" s="24">
        <f aca="true" t="shared" si="126" ref="E110:G114">M110+U110+AC110+AK110</f>
        <v>0</v>
      </c>
      <c r="F110" s="24">
        <f t="shared" si="126"/>
        <v>0</v>
      </c>
      <c r="G110" s="24">
        <f t="shared" si="126"/>
        <v>0</v>
      </c>
      <c r="H110" s="24">
        <f t="shared" si="117"/>
        <v>40500</v>
      </c>
      <c r="I110" s="24">
        <f aca="true" t="shared" si="127" ref="I110:K114">Q110+Y110+AG110+AO110</f>
        <v>0</v>
      </c>
      <c r="J110" s="24">
        <f t="shared" si="127"/>
        <v>0</v>
      </c>
      <c r="K110" s="24">
        <f t="shared" si="127"/>
        <v>0</v>
      </c>
      <c r="L110" s="502">
        <f t="shared" si="124"/>
        <v>0</v>
      </c>
      <c r="M110" s="16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502">
        <f t="shared" si="125"/>
        <v>10100</v>
      </c>
      <c r="U110" s="14">
        <v>0</v>
      </c>
      <c r="V110" s="14">
        <v>0</v>
      </c>
      <c r="W110" s="14">
        <v>0</v>
      </c>
      <c r="X110" s="14">
        <f>32000-23500+1600</f>
        <v>10100</v>
      </c>
      <c r="Y110" s="14">
        <v>0</v>
      </c>
      <c r="Z110" s="14">
        <v>0</v>
      </c>
      <c r="AA110" s="14">
        <v>0</v>
      </c>
      <c r="AB110" s="502">
        <f t="shared" si="120"/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502">
        <f t="shared" si="121"/>
        <v>30400</v>
      </c>
      <c r="AK110" s="14">
        <v>0</v>
      </c>
      <c r="AL110" s="14">
        <v>0</v>
      </c>
      <c r="AM110" s="14">
        <v>0</v>
      </c>
      <c r="AN110" s="14">
        <f>32000-1600</f>
        <v>30400</v>
      </c>
      <c r="AO110" s="14">
        <v>0</v>
      </c>
      <c r="AP110" s="14">
        <v>0</v>
      </c>
      <c r="AQ110" s="14">
        <v>0</v>
      </c>
    </row>
    <row r="111" spans="1:43" ht="53.25" customHeight="1">
      <c r="A111" s="312" t="s">
        <v>829</v>
      </c>
      <c r="B111" s="505" t="s">
        <v>1000</v>
      </c>
      <c r="C111" s="483" t="s">
        <v>664</v>
      </c>
      <c r="D111" s="308">
        <f>E111+G111+H111+I111+J111+K111+F111</f>
        <v>7139.7</v>
      </c>
      <c r="E111" s="24">
        <f aca="true" t="shared" si="128" ref="E111:K112">M111+U111+AC111+AK111</f>
        <v>0</v>
      </c>
      <c r="F111" s="24">
        <f t="shared" si="128"/>
        <v>3139.7</v>
      </c>
      <c r="G111" s="24">
        <f t="shared" si="128"/>
        <v>0</v>
      </c>
      <c r="H111" s="24">
        <f t="shared" si="128"/>
        <v>4000</v>
      </c>
      <c r="I111" s="24">
        <f t="shared" si="128"/>
        <v>0</v>
      </c>
      <c r="J111" s="24">
        <f t="shared" si="128"/>
        <v>0</v>
      </c>
      <c r="K111" s="24">
        <f t="shared" si="128"/>
        <v>0</v>
      </c>
      <c r="L111" s="542">
        <f t="shared" si="124"/>
        <v>2600</v>
      </c>
      <c r="M111" s="16">
        <v>0</v>
      </c>
      <c r="N111" s="14">
        <f>240+360</f>
        <v>600</v>
      </c>
      <c r="O111" s="14">
        <v>0</v>
      </c>
      <c r="P111" s="14">
        <v>2000</v>
      </c>
      <c r="Q111" s="14">
        <v>0</v>
      </c>
      <c r="R111" s="14">
        <v>0</v>
      </c>
      <c r="S111" s="14">
        <v>0</v>
      </c>
      <c r="T111" s="502">
        <f t="shared" si="125"/>
        <v>2939.7</v>
      </c>
      <c r="U111" s="14">
        <v>0</v>
      </c>
      <c r="V111" s="14">
        <f>3810-1050-220.3</f>
        <v>2539.7</v>
      </c>
      <c r="W111" s="14">
        <v>0</v>
      </c>
      <c r="X111" s="14">
        <f>2000-1600</f>
        <v>400</v>
      </c>
      <c r="Y111" s="14">
        <v>0</v>
      </c>
      <c r="Z111" s="14">
        <v>0</v>
      </c>
      <c r="AA111" s="14">
        <v>0</v>
      </c>
      <c r="AB111" s="502">
        <f>SUM(AC111:AI111)</f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502">
        <f>SUM(AK111:AQ111)</f>
        <v>1600</v>
      </c>
      <c r="AK111" s="14">
        <v>0</v>
      </c>
      <c r="AL111" s="14">
        <v>0</v>
      </c>
      <c r="AM111" s="14">
        <v>0</v>
      </c>
      <c r="AN111" s="14">
        <f>1600</f>
        <v>1600</v>
      </c>
      <c r="AO111" s="14">
        <v>0</v>
      </c>
      <c r="AP111" s="14">
        <v>0</v>
      </c>
      <c r="AQ111" s="14">
        <v>0</v>
      </c>
    </row>
    <row r="112" spans="1:43" ht="36.75" customHeight="1">
      <c r="A112" s="312" t="s">
        <v>939</v>
      </c>
      <c r="B112" s="505" t="s">
        <v>941</v>
      </c>
      <c r="C112" s="483" t="s">
        <v>940</v>
      </c>
      <c r="D112" s="308">
        <f>E112+G112+H112+I112+J112+K112</f>
        <v>19400</v>
      </c>
      <c r="E112" s="24">
        <f t="shared" si="128"/>
        <v>0</v>
      </c>
      <c r="F112" s="24">
        <f t="shared" si="128"/>
        <v>0</v>
      </c>
      <c r="G112" s="24">
        <f t="shared" si="128"/>
        <v>0</v>
      </c>
      <c r="H112" s="24">
        <f>P112+X112+AF112+AN112</f>
        <v>19400</v>
      </c>
      <c r="I112" s="24">
        <f t="shared" si="128"/>
        <v>0</v>
      </c>
      <c r="J112" s="24">
        <f t="shared" si="128"/>
        <v>0</v>
      </c>
      <c r="K112" s="24">
        <f t="shared" si="128"/>
        <v>0</v>
      </c>
      <c r="L112" s="542">
        <f>SUM(M112:S112)</f>
        <v>7700</v>
      </c>
      <c r="M112" s="16">
        <v>0</v>
      </c>
      <c r="N112" s="14">
        <v>0</v>
      </c>
      <c r="O112" s="14">
        <v>0</v>
      </c>
      <c r="P112" s="14">
        <v>7700</v>
      </c>
      <c r="Q112" s="14">
        <v>0</v>
      </c>
      <c r="R112" s="14">
        <v>0</v>
      </c>
      <c r="S112" s="14">
        <v>0</v>
      </c>
      <c r="T112" s="502">
        <f>SUM(U112:AA112)</f>
        <v>11700</v>
      </c>
      <c r="U112" s="14">
        <v>0</v>
      </c>
      <c r="V112" s="14">
        <v>0</v>
      </c>
      <c r="W112" s="14">
        <v>0</v>
      </c>
      <c r="X112" s="14">
        <v>11700</v>
      </c>
      <c r="Y112" s="14">
        <v>0</v>
      </c>
      <c r="Z112" s="14">
        <v>0</v>
      </c>
      <c r="AA112" s="14">
        <v>0</v>
      </c>
      <c r="AB112" s="502">
        <f>SUM(AC112:AI112)</f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502">
        <f>SUM(AK112:AQ112)</f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</row>
    <row r="113" spans="1:43" ht="36.75" customHeight="1">
      <c r="A113" s="312" t="s">
        <v>994</v>
      </c>
      <c r="B113" s="505" t="s">
        <v>995</v>
      </c>
      <c r="C113" s="483" t="s">
        <v>1068</v>
      </c>
      <c r="D113" s="308">
        <f>E113+G113+H113+I113+J113+K113</f>
        <v>0</v>
      </c>
      <c r="E113" s="24">
        <f t="shared" si="126"/>
        <v>0</v>
      </c>
      <c r="F113" s="24">
        <f t="shared" si="126"/>
        <v>66979.86</v>
      </c>
      <c r="G113" s="24">
        <f t="shared" si="126"/>
        <v>0</v>
      </c>
      <c r="H113" s="24">
        <f>P113+X113+AF113+AN113</f>
        <v>0</v>
      </c>
      <c r="I113" s="24">
        <f t="shared" si="127"/>
        <v>0</v>
      </c>
      <c r="J113" s="24">
        <f t="shared" si="127"/>
        <v>0</v>
      </c>
      <c r="K113" s="24">
        <f t="shared" si="127"/>
        <v>0</v>
      </c>
      <c r="L113" s="542">
        <f t="shared" si="124"/>
        <v>13522</v>
      </c>
      <c r="M113" s="16">
        <v>0</v>
      </c>
      <c r="N113" s="14">
        <v>13522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502">
        <f t="shared" si="125"/>
        <v>53457.86</v>
      </c>
      <c r="U113" s="14">
        <v>0</v>
      </c>
      <c r="V113" s="14">
        <f>46586.86+6871</f>
        <v>53457.86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502">
        <f t="shared" si="120"/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502">
        <f t="shared" si="121"/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</row>
    <row r="114" spans="1:43" ht="36.75" customHeight="1">
      <c r="A114" s="543"/>
      <c r="B114" s="556" t="s">
        <v>187</v>
      </c>
      <c r="C114" s="484"/>
      <c r="D114" s="367">
        <f>D31+D26+D25+D18+D13+D10</f>
        <v>28884107.78</v>
      </c>
      <c r="E114" s="367">
        <f t="shared" si="126"/>
        <v>13864076.46</v>
      </c>
      <c r="F114" s="367">
        <f t="shared" si="126"/>
        <v>1177934.65</v>
      </c>
      <c r="G114" s="367">
        <f t="shared" si="126"/>
        <v>0</v>
      </c>
      <c r="H114" s="367">
        <f>P114+X114+AF114+AN114</f>
        <v>12234896.67</v>
      </c>
      <c r="I114" s="734">
        <f t="shared" si="127"/>
        <v>1500000</v>
      </c>
      <c r="J114" s="367">
        <f t="shared" si="127"/>
        <v>0</v>
      </c>
      <c r="K114" s="367">
        <f t="shared" si="127"/>
        <v>107200</v>
      </c>
      <c r="L114" s="544">
        <f t="shared" si="124"/>
        <v>9177395.52</v>
      </c>
      <c r="M114" s="545">
        <f>M31+M26+M18+M13+M10</f>
        <v>5282111.46</v>
      </c>
      <c r="N114" s="545">
        <f aca="true" t="shared" si="129" ref="N114:S114">N31+N26+N18+N13+N10</f>
        <v>29974.39</v>
      </c>
      <c r="O114" s="545">
        <f t="shared" si="129"/>
        <v>0</v>
      </c>
      <c r="P114" s="545">
        <f>P31+P26+P18+P13+P10</f>
        <v>3837309.67</v>
      </c>
      <c r="Q114" s="545">
        <f t="shared" si="129"/>
        <v>0</v>
      </c>
      <c r="R114" s="545">
        <f t="shared" si="129"/>
        <v>0</v>
      </c>
      <c r="S114" s="545">
        <f t="shared" si="129"/>
        <v>28000</v>
      </c>
      <c r="T114" s="544">
        <f t="shared" si="125"/>
        <v>9230337.26</v>
      </c>
      <c r="U114" s="545">
        <f>U10+U13+U18+U26+U31+U91</f>
        <v>3613565</v>
      </c>
      <c r="V114" s="545">
        <f aca="true" t="shared" si="130" ref="V114:AA114">V31+V26+V25+V18+V13+V10</f>
        <v>711860.26</v>
      </c>
      <c r="W114" s="545">
        <f t="shared" si="130"/>
        <v>0</v>
      </c>
      <c r="X114" s="545">
        <f t="shared" si="130"/>
        <v>3379912</v>
      </c>
      <c r="Y114" s="735">
        <f t="shared" si="130"/>
        <v>1500000</v>
      </c>
      <c r="Z114" s="545">
        <f t="shared" si="130"/>
        <v>0</v>
      </c>
      <c r="AA114" s="545">
        <f t="shared" si="130"/>
        <v>25000</v>
      </c>
      <c r="AB114" s="544">
        <f>SUM(AC114:AI114)</f>
        <v>6015213</v>
      </c>
      <c r="AC114" s="545">
        <f>AC10+AC13+AC18+AC26+AC31+AC91</f>
        <v>2662200</v>
      </c>
      <c r="AD114" s="545">
        <f aca="true" t="shared" si="131" ref="AD114:AI114">AD31+AD26+AD25+AD18+AD13+AD10</f>
        <v>436100</v>
      </c>
      <c r="AE114" s="545">
        <f t="shared" si="131"/>
        <v>0</v>
      </c>
      <c r="AF114" s="545">
        <f t="shared" si="131"/>
        <v>2888913</v>
      </c>
      <c r="AG114" s="545">
        <f t="shared" si="131"/>
        <v>0</v>
      </c>
      <c r="AH114" s="545">
        <f t="shared" si="131"/>
        <v>0</v>
      </c>
      <c r="AI114" s="545">
        <f t="shared" si="131"/>
        <v>28000</v>
      </c>
      <c r="AJ114" s="544">
        <f>SUM(AK114:AQ114)</f>
        <v>4461162</v>
      </c>
      <c r="AK114" s="545">
        <f>AK10+AK13+AK18+AK26+AK31+AK91</f>
        <v>2306200</v>
      </c>
      <c r="AL114" s="545">
        <f aca="true" t="shared" si="132" ref="AL114:AQ114">AL31+AL26+AL25+AL18+AL13+AL10</f>
        <v>0</v>
      </c>
      <c r="AM114" s="545">
        <f t="shared" si="132"/>
        <v>0</v>
      </c>
      <c r="AN114" s="545">
        <f t="shared" si="132"/>
        <v>2128762</v>
      </c>
      <c r="AO114" s="545">
        <f t="shared" si="132"/>
        <v>0</v>
      </c>
      <c r="AP114" s="545">
        <f t="shared" si="132"/>
        <v>0</v>
      </c>
      <c r="AQ114" s="545">
        <f t="shared" si="132"/>
        <v>26200</v>
      </c>
    </row>
    <row r="115" spans="4:43" ht="15" customHeight="1" hidden="1"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</row>
    <row r="116" spans="4:43" ht="15" customHeight="1" hidden="1"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</row>
    <row r="117" spans="4:43" ht="15" customHeight="1" hidden="1"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</row>
    <row r="118" spans="4:43" ht="15" customHeight="1"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</row>
    <row r="119" spans="2:16" ht="24" customHeight="1">
      <c r="B119" s="680"/>
      <c r="C119" s="679"/>
      <c r="D119" s="134" t="s">
        <v>1055</v>
      </c>
      <c r="E119" s="679"/>
      <c r="F119" s="682"/>
      <c r="G119" s="677"/>
      <c r="H119" s="722" t="s">
        <v>1118</v>
      </c>
      <c r="I119" s="675"/>
      <c r="J119" s="674"/>
      <c r="P119" s="159"/>
    </row>
    <row r="120" spans="3:10" ht="12" customHeight="1">
      <c r="C120" s="826"/>
      <c r="D120" s="826"/>
      <c r="E120" s="826"/>
      <c r="G120" s="676"/>
      <c r="H120" s="678"/>
      <c r="I120" s="672" t="s">
        <v>248</v>
      </c>
      <c r="J120" s="672"/>
    </row>
    <row r="121" spans="3:5" ht="15.75" customHeight="1">
      <c r="C121" s="679"/>
      <c r="D121" s="679"/>
      <c r="E121" s="679"/>
    </row>
    <row r="122" spans="3:10" ht="23.25" customHeight="1">
      <c r="C122" s="679"/>
      <c r="D122" s="681" t="s">
        <v>660</v>
      </c>
      <c r="E122" s="679"/>
      <c r="F122" s="682"/>
      <c r="G122" s="678"/>
      <c r="H122" s="674" t="s">
        <v>832</v>
      </c>
      <c r="I122" s="674"/>
      <c r="J122" s="674"/>
    </row>
    <row r="123" spans="3:10" ht="15.75" customHeight="1">
      <c r="C123" s="826"/>
      <c r="D123" s="826"/>
      <c r="E123" s="826"/>
      <c r="G123" s="676"/>
      <c r="H123" s="676" t="s">
        <v>248</v>
      </c>
      <c r="I123" s="678"/>
      <c r="J123" s="678"/>
    </row>
    <row r="124" ht="15.75" customHeight="1">
      <c r="D124" s="488" t="s">
        <v>247</v>
      </c>
    </row>
    <row r="125" ht="15.75" customHeight="1"/>
    <row r="126" ht="15.75" customHeight="1"/>
  </sheetData>
  <sheetProtection selectLockedCells="1" selectUnlockedCells="1"/>
  <mergeCells count="68">
    <mergeCell ref="R8:R9"/>
    <mergeCell ref="AC7:AC9"/>
    <mergeCell ref="C123:E123"/>
    <mergeCell ref="S8:S9"/>
    <mergeCell ref="O7:O9"/>
    <mergeCell ref="C120:E120"/>
    <mergeCell ref="P7:S7"/>
    <mergeCell ref="P8:P9"/>
    <mergeCell ref="M7:M9"/>
    <mergeCell ref="N7:N9"/>
    <mergeCell ref="Q8:Q9"/>
    <mergeCell ref="AI8:AI9"/>
    <mergeCell ref="AQ8:AQ9"/>
    <mergeCell ref="V7:V9"/>
    <mergeCell ref="W7:W9"/>
    <mergeCell ref="X7:AA7"/>
    <mergeCell ref="Z8:Z9"/>
    <mergeCell ref="AG8:AG9"/>
    <mergeCell ref="AK7:AK9"/>
    <mergeCell ref="AF8:AF9"/>
    <mergeCell ref="AJ6:AJ9"/>
    <mergeCell ref="AL7:AL9"/>
    <mergeCell ref="AK6:AQ6"/>
    <mergeCell ref="AN7:AQ7"/>
    <mergeCell ref="AN8:AN9"/>
    <mergeCell ref="AO8:AO9"/>
    <mergeCell ref="AM7:AM9"/>
    <mergeCell ref="AP8:AP9"/>
    <mergeCell ref="AF7:AI7"/>
    <mergeCell ref="U7:U9"/>
    <mergeCell ref="AC6:AI6"/>
    <mergeCell ref="AA8:AA9"/>
    <mergeCell ref="AD7:AD9"/>
    <mergeCell ref="AE7:AE9"/>
    <mergeCell ref="U6:AA6"/>
    <mergeCell ref="AB6:AB9"/>
    <mergeCell ref="X8:X9"/>
    <mergeCell ref="AH8:AH9"/>
    <mergeCell ref="A5:A9"/>
    <mergeCell ref="B5:B9"/>
    <mergeCell ref="C5:C9"/>
    <mergeCell ref="D5:D9"/>
    <mergeCell ref="E5:K5"/>
    <mergeCell ref="L5:S5"/>
    <mergeCell ref="K7:K9"/>
    <mergeCell ref="E6:E9"/>
    <mergeCell ref="F6:F9"/>
    <mergeCell ref="G6:G9"/>
    <mergeCell ref="AJ5:AQ5"/>
    <mergeCell ref="U1:X1"/>
    <mergeCell ref="AC1:AF1"/>
    <mergeCell ref="AM1:AQ3"/>
    <mergeCell ref="I7:I9"/>
    <mergeCell ref="J7:J9"/>
    <mergeCell ref="T6:T9"/>
    <mergeCell ref="Y8:Y9"/>
    <mergeCell ref="AK4:AN4"/>
    <mergeCell ref="H6:K6"/>
    <mergeCell ref="E4:H4"/>
    <mergeCell ref="I4:L4"/>
    <mergeCell ref="M4:P4"/>
    <mergeCell ref="U4:X4"/>
    <mergeCell ref="AC4:AF4"/>
    <mergeCell ref="M6:S6"/>
    <mergeCell ref="L6:L9"/>
    <mergeCell ref="H7:H9"/>
    <mergeCell ref="T5:AA5"/>
    <mergeCell ref="AB5:AI5"/>
  </mergeCells>
  <printOptions/>
  <pageMargins left="0.7086614173228347" right="0.3937007874015748" top="0.3937007874015748" bottom="0.3937007874015748" header="0" footer="0.11811023622047245"/>
  <pageSetup fitToHeight="2" fitToWidth="2" horizontalDpi="300" verticalDpi="300" orientation="portrait" paperSize="9" scale="70" r:id="rId3"/>
  <rowBreaks count="2" manualBreakCount="2">
    <brk id="36" max="255" man="1"/>
    <brk id="67" max="255" man="1"/>
  </rowBreaks>
  <colBreaks count="3" manualBreakCount="3">
    <brk id="11" max="65535" man="1"/>
    <brk id="19" max="65535" man="1"/>
    <brk id="27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8"/>
  <sheetViews>
    <sheetView zoomScale="80" zoomScaleNormal="80" zoomScalePageLayoutView="0" workbookViewId="0" topLeftCell="A1">
      <pane xSplit="3" ySplit="8" topLeftCell="D8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78" sqref="K78"/>
    </sheetView>
  </sheetViews>
  <sheetFormatPr defaultColWidth="9.140625" defaultRowHeight="12" customHeight="1"/>
  <cols>
    <col min="1" max="1" width="7.140625" style="557" customWidth="1"/>
    <col min="2" max="2" width="45.140625" style="557" customWidth="1"/>
    <col min="3" max="3" width="10.421875" style="557" customWidth="1"/>
    <col min="4" max="4" width="15.7109375" style="557" customWidth="1"/>
    <col min="5" max="6" width="18.28125" style="557" customWidth="1"/>
    <col min="7" max="7" width="12.8515625" style="557" customWidth="1"/>
    <col min="8" max="8" width="18.28125" style="557" customWidth="1"/>
    <col min="9" max="9" width="13.28125" style="557" customWidth="1"/>
    <col min="10" max="10" width="10.421875" style="557" customWidth="1"/>
    <col min="11" max="11" width="14.8515625" style="557" customWidth="1"/>
    <col min="12" max="12" width="15.7109375" style="557" customWidth="1"/>
    <col min="13" max="13" width="19.57421875" style="557" customWidth="1"/>
    <col min="14" max="14" width="16.140625" style="557" customWidth="1"/>
    <col min="15" max="15" width="11.57421875" style="557" customWidth="1"/>
    <col min="16" max="16" width="19.57421875" style="557" customWidth="1"/>
    <col min="17" max="17" width="15.28125" style="557" customWidth="1"/>
    <col min="18" max="18" width="14.421875" style="557" customWidth="1"/>
    <col min="19" max="19" width="19.57421875" style="557" customWidth="1"/>
    <col min="20" max="20" width="9.140625" style="557" customWidth="1"/>
    <col min="21" max="16384" width="9.140625" style="557" customWidth="1"/>
  </cols>
  <sheetData>
    <row r="1" spans="5:19" ht="13.5" customHeight="1">
      <c r="E1" s="830"/>
      <c r="F1" s="830"/>
      <c r="G1" s="830"/>
      <c r="H1" s="830"/>
      <c r="I1" s="830"/>
      <c r="J1" s="830"/>
      <c r="K1" s="830"/>
      <c r="M1" s="830"/>
      <c r="N1" s="830"/>
      <c r="O1" s="830"/>
      <c r="P1" s="830"/>
      <c r="Q1" s="830" t="s">
        <v>154</v>
      </c>
      <c r="R1" s="830"/>
      <c r="S1" s="830"/>
    </row>
    <row r="2" spans="1:11" ht="18.75" customHeight="1">
      <c r="A2" s="831" t="s">
        <v>649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</row>
    <row r="3" spans="1:19" ht="15" customHeight="1">
      <c r="A3" s="558"/>
      <c r="B3" s="6"/>
      <c r="C3" s="6"/>
      <c r="D3" s="6"/>
      <c r="E3" s="827"/>
      <c r="F3" s="827"/>
      <c r="G3" s="827"/>
      <c r="H3" s="827"/>
      <c r="I3" s="827"/>
      <c r="J3" s="827"/>
      <c r="K3" s="827"/>
      <c r="L3" s="6"/>
      <c r="M3" s="827"/>
      <c r="N3" s="827"/>
      <c r="O3" s="827"/>
      <c r="P3" s="827"/>
      <c r="Q3" s="827"/>
      <c r="R3" s="827"/>
      <c r="S3" s="827"/>
    </row>
    <row r="4" spans="1:19" s="559" customFormat="1" ht="18" customHeight="1">
      <c r="A4" s="832" t="s">
        <v>75</v>
      </c>
      <c r="B4" s="833" t="s">
        <v>76</v>
      </c>
      <c r="C4" s="793" t="s">
        <v>77</v>
      </c>
      <c r="D4" s="793" t="s">
        <v>650</v>
      </c>
      <c r="E4" s="793" t="s">
        <v>79</v>
      </c>
      <c r="F4" s="793"/>
      <c r="G4" s="793"/>
      <c r="H4" s="793"/>
      <c r="I4" s="793"/>
      <c r="J4" s="793"/>
      <c r="K4" s="793"/>
      <c r="L4" s="793" t="s">
        <v>651</v>
      </c>
      <c r="M4" s="793" t="s">
        <v>79</v>
      </c>
      <c r="N4" s="793"/>
      <c r="O4" s="793"/>
      <c r="P4" s="793"/>
      <c r="Q4" s="793"/>
      <c r="R4" s="793"/>
      <c r="S4" s="793"/>
    </row>
    <row r="5" spans="1:19" s="559" customFormat="1" ht="29.25" customHeight="1">
      <c r="A5" s="832"/>
      <c r="B5" s="833"/>
      <c r="C5" s="793"/>
      <c r="D5" s="793"/>
      <c r="E5" s="793" t="s">
        <v>81</v>
      </c>
      <c r="F5" s="793" t="s">
        <v>82</v>
      </c>
      <c r="G5" s="793" t="s">
        <v>83</v>
      </c>
      <c r="H5" s="828" t="s">
        <v>84</v>
      </c>
      <c r="I5" s="828"/>
      <c r="J5" s="828"/>
      <c r="K5" s="828"/>
      <c r="L5" s="793"/>
      <c r="M5" s="793" t="s">
        <v>81</v>
      </c>
      <c r="N5" s="793" t="s">
        <v>82</v>
      </c>
      <c r="O5" s="793" t="s">
        <v>83</v>
      </c>
      <c r="P5" s="828" t="s">
        <v>84</v>
      </c>
      <c r="Q5" s="828"/>
      <c r="R5" s="828"/>
      <c r="S5" s="828"/>
    </row>
    <row r="6" spans="1:19" s="559" customFormat="1" ht="44.25" customHeight="1">
      <c r="A6" s="832"/>
      <c r="B6" s="833"/>
      <c r="C6" s="793"/>
      <c r="D6" s="793"/>
      <c r="E6" s="793"/>
      <c r="F6" s="793"/>
      <c r="G6" s="793"/>
      <c r="H6" s="793" t="s">
        <v>89</v>
      </c>
      <c r="I6" s="793" t="s">
        <v>90</v>
      </c>
      <c r="J6" s="793" t="s">
        <v>91</v>
      </c>
      <c r="K6" s="793" t="s">
        <v>92</v>
      </c>
      <c r="L6" s="793"/>
      <c r="M6" s="793"/>
      <c r="N6" s="793"/>
      <c r="O6" s="793"/>
      <c r="P6" s="793" t="s">
        <v>89</v>
      </c>
      <c r="Q6" s="793" t="s">
        <v>90</v>
      </c>
      <c r="R6" s="793" t="s">
        <v>91</v>
      </c>
      <c r="S6" s="793" t="s">
        <v>92</v>
      </c>
    </row>
    <row r="7" spans="1:19" s="559" customFormat="1" ht="25.5" customHeight="1">
      <c r="A7" s="832"/>
      <c r="B7" s="833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</row>
    <row r="8" spans="1:19" s="559" customFormat="1" ht="83.25" customHeight="1">
      <c r="A8" s="832"/>
      <c r="B8" s="83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</row>
    <row r="9" spans="1:19" ht="29.25" customHeight="1">
      <c r="A9" s="310" t="s">
        <v>394</v>
      </c>
      <c r="B9" s="560" t="s">
        <v>395</v>
      </c>
      <c r="C9" s="485">
        <v>210</v>
      </c>
      <c r="D9" s="369">
        <f aca="true" t="shared" si="0" ref="D9:D40">E9+F9+G9+H9+I9+J9+K9</f>
        <v>18477200</v>
      </c>
      <c r="E9" s="487">
        <f aca="true" t="shared" si="1" ref="E9:K9">E10+E11</f>
        <v>11243500</v>
      </c>
      <c r="F9" s="487">
        <v>0</v>
      </c>
      <c r="G9" s="487">
        <f t="shared" si="1"/>
        <v>0</v>
      </c>
      <c r="H9" s="487">
        <f t="shared" si="1"/>
        <v>7233700</v>
      </c>
      <c r="I9" s="487">
        <f t="shared" si="1"/>
        <v>0</v>
      </c>
      <c r="J9" s="487">
        <f t="shared" si="1"/>
        <v>0</v>
      </c>
      <c r="K9" s="487">
        <f t="shared" si="1"/>
        <v>0</v>
      </c>
      <c r="L9" s="369">
        <f aca="true" t="shared" si="2" ref="L9:L40">M9+N9+O9+P9+Q9+R9+S9</f>
        <v>18477200</v>
      </c>
      <c r="M9" s="487">
        <f>M10+M11</f>
        <v>11243500</v>
      </c>
      <c r="N9" s="487">
        <v>0</v>
      </c>
      <c r="O9" s="487">
        <f>O10+O11</f>
        <v>0</v>
      </c>
      <c r="P9" s="487">
        <f>P10+P11</f>
        <v>7233700</v>
      </c>
      <c r="Q9" s="487">
        <f>Q10+Q11</f>
        <v>0</v>
      </c>
      <c r="R9" s="487">
        <f>R10+R11</f>
        <v>0</v>
      </c>
      <c r="S9" s="487">
        <f>S10+S11</f>
        <v>0</v>
      </c>
    </row>
    <row r="10" spans="1:19" ht="23.25" customHeight="1">
      <c r="A10" s="310" t="s">
        <v>378</v>
      </c>
      <c r="B10" s="561" t="s">
        <v>396</v>
      </c>
      <c r="C10" s="485">
        <v>211</v>
      </c>
      <c r="D10" s="369">
        <f t="shared" si="0"/>
        <v>14180600</v>
      </c>
      <c r="E10" s="120">
        <v>8624000</v>
      </c>
      <c r="F10" s="120">
        <v>0</v>
      </c>
      <c r="G10" s="120">
        <v>0</v>
      </c>
      <c r="H10" s="120">
        <v>5556600</v>
      </c>
      <c r="I10" s="120">
        <v>0</v>
      </c>
      <c r="J10" s="120">
        <v>0</v>
      </c>
      <c r="K10" s="120">
        <v>0</v>
      </c>
      <c r="L10" s="369">
        <f t="shared" si="2"/>
        <v>14180600</v>
      </c>
      <c r="M10" s="120">
        <v>8624000</v>
      </c>
      <c r="N10" s="120">
        <v>0</v>
      </c>
      <c r="O10" s="120">
        <v>0</v>
      </c>
      <c r="P10" s="120">
        <v>5556600</v>
      </c>
      <c r="Q10" s="120">
        <v>0</v>
      </c>
      <c r="R10" s="120">
        <v>0</v>
      </c>
      <c r="S10" s="120">
        <v>0</v>
      </c>
    </row>
    <row r="11" spans="1:19" ht="27.75" customHeight="1">
      <c r="A11" s="310" t="s">
        <v>380</v>
      </c>
      <c r="B11" s="561" t="s">
        <v>397</v>
      </c>
      <c r="C11" s="485">
        <v>213</v>
      </c>
      <c r="D11" s="369">
        <f t="shared" si="0"/>
        <v>4296600</v>
      </c>
      <c r="E11" s="120">
        <v>2619500</v>
      </c>
      <c r="F11" s="120">
        <v>0</v>
      </c>
      <c r="G11" s="120">
        <v>0</v>
      </c>
      <c r="H11" s="120">
        <v>1677100</v>
      </c>
      <c r="I11" s="120">
        <v>0</v>
      </c>
      <c r="J11" s="120">
        <v>0</v>
      </c>
      <c r="K11" s="120">
        <v>0</v>
      </c>
      <c r="L11" s="369">
        <f t="shared" si="2"/>
        <v>4296600</v>
      </c>
      <c r="M11" s="120">
        <v>2619500</v>
      </c>
      <c r="N11" s="120">
        <v>0</v>
      </c>
      <c r="O11" s="120">
        <v>0</v>
      </c>
      <c r="P11" s="120">
        <v>1677100</v>
      </c>
      <c r="Q11" s="120">
        <v>0</v>
      </c>
      <c r="R11" s="120">
        <v>0</v>
      </c>
      <c r="S11" s="120">
        <v>0</v>
      </c>
    </row>
    <row r="12" spans="1:19" ht="44.25" customHeight="1">
      <c r="A12" s="310" t="s">
        <v>398</v>
      </c>
      <c r="B12" s="562" t="s">
        <v>736</v>
      </c>
      <c r="C12" s="563"/>
      <c r="D12" s="369">
        <f t="shared" si="0"/>
        <v>118250</v>
      </c>
      <c r="E12" s="309">
        <f>SUM(E13:E16)</f>
        <v>50000</v>
      </c>
      <c r="F12" s="309">
        <f aca="true" t="shared" si="3" ref="F12:K12">SUM(F13:F16)</f>
        <v>0</v>
      </c>
      <c r="G12" s="309">
        <f t="shared" si="3"/>
        <v>0</v>
      </c>
      <c r="H12" s="309">
        <f t="shared" si="3"/>
        <v>38750</v>
      </c>
      <c r="I12" s="309">
        <f t="shared" si="3"/>
        <v>0</v>
      </c>
      <c r="J12" s="309">
        <f t="shared" si="3"/>
        <v>0</v>
      </c>
      <c r="K12" s="309">
        <f t="shared" si="3"/>
        <v>29500</v>
      </c>
      <c r="L12" s="369">
        <f t="shared" si="2"/>
        <v>118250</v>
      </c>
      <c r="M12" s="309">
        <f aca="true" t="shared" si="4" ref="M12:S12">SUM(M13:M16)</f>
        <v>50000</v>
      </c>
      <c r="N12" s="309">
        <f t="shared" si="4"/>
        <v>0</v>
      </c>
      <c r="O12" s="309">
        <f t="shared" si="4"/>
        <v>0</v>
      </c>
      <c r="P12" s="309">
        <f t="shared" si="4"/>
        <v>38750</v>
      </c>
      <c r="Q12" s="309">
        <f t="shared" si="4"/>
        <v>0</v>
      </c>
      <c r="R12" s="309">
        <f t="shared" si="4"/>
        <v>0</v>
      </c>
      <c r="S12" s="309">
        <f t="shared" si="4"/>
        <v>29500</v>
      </c>
    </row>
    <row r="13" spans="1:19" ht="21" customHeight="1">
      <c r="A13" s="310" t="s">
        <v>563</v>
      </c>
      <c r="B13" s="380" t="s">
        <v>666</v>
      </c>
      <c r="C13" s="320">
        <v>266</v>
      </c>
      <c r="D13" s="369">
        <f t="shared" si="0"/>
        <v>2250</v>
      </c>
      <c r="E13" s="317">
        <v>0</v>
      </c>
      <c r="F13" s="317">
        <v>0</v>
      </c>
      <c r="G13" s="317">
        <v>0</v>
      </c>
      <c r="H13" s="317">
        <v>2250</v>
      </c>
      <c r="I13" s="317">
        <v>0</v>
      </c>
      <c r="J13" s="317">
        <v>0</v>
      </c>
      <c r="K13" s="120">
        <v>0</v>
      </c>
      <c r="L13" s="369">
        <f t="shared" si="2"/>
        <v>2250</v>
      </c>
      <c r="M13" s="317">
        <v>0</v>
      </c>
      <c r="N13" s="317">
        <v>0</v>
      </c>
      <c r="O13" s="317">
        <v>0</v>
      </c>
      <c r="P13" s="317">
        <v>2250</v>
      </c>
      <c r="Q13" s="317">
        <v>0</v>
      </c>
      <c r="R13" s="317">
        <v>0</v>
      </c>
      <c r="S13" s="120">
        <v>0</v>
      </c>
    </row>
    <row r="14" spans="1:19" ht="18.75" customHeight="1">
      <c r="A14" s="310" t="s">
        <v>564</v>
      </c>
      <c r="B14" s="380" t="s">
        <v>667</v>
      </c>
      <c r="C14" s="320">
        <v>266</v>
      </c>
      <c r="D14" s="369">
        <f t="shared" si="0"/>
        <v>56000</v>
      </c>
      <c r="E14" s="317">
        <v>50000</v>
      </c>
      <c r="F14" s="317">
        <v>0</v>
      </c>
      <c r="G14" s="317">
        <v>0</v>
      </c>
      <c r="H14" s="317">
        <v>6000</v>
      </c>
      <c r="I14" s="317">
        <v>0</v>
      </c>
      <c r="J14" s="317">
        <v>0</v>
      </c>
      <c r="K14" s="120">
        <v>0</v>
      </c>
      <c r="L14" s="369">
        <f t="shared" si="2"/>
        <v>56000</v>
      </c>
      <c r="M14" s="317">
        <v>50000</v>
      </c>
      <c r="N14" s="317">
        <v>0</v>
      </c>
      <c r="O14" s="317">
        <v>0</v>
      </c>
      <c r="P14" s="317">
        <v>6000</v>
      </c>
      <c r="Q14" s="317">
        <v>0</v>
      </c>
      <c r="R14" s="317">
        <v>0</v>
      </c>
      <c r="S14" s="120">
        <v>0</v>
      </c>
    </row>
    <row r="15" spans="1:19" ht="28.5" customHeight="1">
      <c r="A15" s="310" t="s">
        <v>566</v>
      </c>
      <c r="B15" s="380" t="s">
        <v>668</v>
      </c>
      <c r="C15" s="320">
        <v>212</v>
      </c>
      <c r="D15" s="369">
        <f t="shared" si="0"/>
        <v>21000</v>
      </c>
      <c r="E15" s="318">
        <v>0</v>
      </c>
      <c r="F15" s="318">
        <v>0</v>
      </c>
      <c r="G15" s="317">
        <v>0</v>
      </c>
      <c r="H15" s="318">
        <v>11000</v>
      </c>
      <c r="I15" s="318">
        <v>0</v>
      </c>
      <c r="J15" s="317">
        <v>0</v>
      </c>
      <c r="K15" s="120">
        <v>10000</v>
      </c>
      <c r="L15" s="369">
        <f t="shared" si="2"/>
        <v>21000</v>
      </c>
      <c r="M15" s="318">
        <v>0</v>
      </c>
      <c r="N15" s="318">
        <v>0</v>
      </c>
      <c r="O15" s="317">
        <v>0</v>
      </c>
      <c r="P15" s="318">
        <v>11000</v>
      </c>
      <c r="Q15" s="318">
        <v>0</v>
      </c>
      <c r="R15" s="317">
        <v>0</v>
      </c>
      <c r="S15" s="120">
        <v>10000</v>
      </c>
    </row>
    <row r="16" spans="1:19" ht="27.75" customHeight="1">
      <c r="A16" s="310" t="s">
        <v>568</v>
      </c>
      <c r="B16" s="380" t="s">
        <v>814</v>
      </c>
      <c r="C16" s="320">
        <v>226</v>
      </c>
      <c r="D16" s="369">
        <f t="shared" si="0"/>
        <v>39000</v>
      </c>
      <c r="E16" s="318">
        <v>0</v>
      </c>
      <c r="F16" s="318">
        <v>0</v>
      </c>
      <c r="G16" s="317">
        <v>0</v>
      </c>
      <c r="H16" s="318">
        <v>19500</v>
      </c>
      <c r="I16" s="318">
        <v>0</v>
      </c>
      <c r="J16" s="317">
        <v>0</v>
      </c>
      <c r="K16" s="120">
        <v>19500</v>
      </c>
      <c r="L16" s="369">
        <f t="shared" si="2"/>
        <v>39000</v>
      </c>
      <c r="M16" s="318">
        <v>0</v>
      </c>
      <c r="N16" s="318">
        <v>0</v>
      </c>
      <c r="O16" s="317">
        <v>0</v>
      </c>
      <c r="P16" s="318">
        <v>19500</v>
      </c>
      <c r="Q16" s="318">
        <v>0</v>
      </c>
      <c r="R16" s="317">
        <v>0</v>
      </c>
      <c r="S16" s="120">
        <v>19500</v>
      </c>
    </row>
    <row r="17" spans="1:19" ht="35.25" customHeight="1">
      <c r="A17" s="310" t="s">
        <v>401</v>
      </c>
      <c r="B17" s="564" t="s">
        <v>813</v>
      </c>
      <c r="C17" s="565">
        <v>291</v>
      </c>
      <c r="D17" s="369">
        <f t="shared" si="0"/>
        <v>3258900</v>
      </c>
      <c r="E17" s="309">
        <f>SUM(E18:E20)</f>
        <v>3105700</v>
      </c>
      <c r="F17" s="309">
        <f aca="true" t="shared" si="5" ref="F17:K17">SUM(F18:F20)</f>
        <v>0</v>
      </c>
      <c r="G17" s="309">
        <f t="shared" si="5"/>
        <v>0</v>
      </c>
      <c r="H17" s="309">
        <f t="shared" si="5"/>
        <v>153200</v>
      </c>
      <c r="I17" s="309">
        <f t="shared" si="5"/>
        <v>0</v>
      </c>
      <c r="J17" s="309">
        <f t="shared" si="5"/>
        <v>0</v>
      </c>
      <c r="K17" s="309">
        <f t="shared" si="5"/>
        <v>0</v>
      </c>
      <c r="L17" s="369">
        <f t="shared" si="2"/>
        <v>3258900</v>
      </c>
      <c r="M17" s="309">
        <f aca="true" t="shared" si="6" ref="M17:S17">SUM(M18:M20)</f>
        <v>3105700</v>
      </c>
      <c r="N17" s="309">
        <f t="shared" si="6"/>
        <v>0</v>
      </c>
      <c r="O17" s="309">
        <f t="shared" si="6"/>
        <v>0</v>
      </c>
      <c r="P17" s="309">
        <f t="shared" si="6"/>
        <v>153200</v>
      </c>
      <c r="Q17" s="309">
        <f t="shared" si="6"/>
        <v>0</v>
      </c>
      <c r="R17" s="309">
        <f t="shared" si="6"/>
        <v>0</v>
      </c>
      <c r="S17" s="309">
        <f t="shared" si="6"/>
        <v>0</v>
      </c>
    </row>
    <row r="18" spans="1:19" ht="20.25" customHeight="1">
      <c r="A18" s="312" t="s">
        <v>403</v>
      </c>
      <c r="B18" s="311" t="s">
        <v>729</v>
      </c>
      <c r="C18" s="319">
        <v>291</v>
      </c>
      <c r="D18" s="369">
        <f t="shared" si="0"/>
        <v>2854700</v>
      </c>
      <c r="E18" s="120">
        <f>2854703-3</f>
        <v>2854700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369">
        <f t="shared" si="2"/>
        <v>2854700</v>
      </c>
      <c r="M18" s="120">
        <f>2854703-3</f>
        <v>2854700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</row>
    <row r="19" spans="1:19" ht="21.75" customHeight="1">
      <c r="A19" s="312" t="s">
        <v>404</v>
      </c>
      <c r="B19" s="311" t="s">
        <v>730</v>
      </c>
      <c r="C19" s="319">
        <v>291</v>
      </c>
      <c r="D19" s="369">
        <f t="shared" si="0"/>
        <v>392200</v>
      </c>
      <c r="E19" s="120">
        <v>251000</v>
      </c>
      <c r="F19" s="120">
        <v>0</v>
      </c>
      <c r="G19" s="120">
        <v>0</v>
      </c>
      <c r="H19" s="120">
        <v>141200</v>
      </c>
      <c r="I19" s="120">
        <v>0</v>
      </c>
      <c r="J19" s="120">
        <v>0</v>
      </c>
      <c r="K19" s="120">
        <v>0</v>
      </c>
      <c r="L19" s="369">
        <f t="shared" si="2"/>
        <v>392200</v>
      </c>
      <c r="M19" s="120">
        <v>251000</v>
      </c>
      <c r="N19" s="120">
        <v>0</v>
      </c>
      <c r="O19" s="120">
        <v>0</v>
      </c>
      <c r="P19" s="120">
        <v>141200</v>
      </c>
      <c r="Q19" s="120">
        <v>0</v>
      </c>
      <c r="R19" s="120">
        <v>0</v>
      </c>
      <c r="S19" s="120">
        <v>0</v>
      </c>
    </row>
    <row r="20" spans="1:19" ht="21.75" customHeight="1">
      <c r="A20" s="312" t="s">
        <v>405</v>
      </c>
      <c r="B20" s="311" t="s">
        <v>815</v>
      </c>
      <c r="C20" s="319">
        <v>291</v>
      </c>
      <c r="D20" s="369">
        <f t="shared" si="0"/>
        <v>12000</v>
      </c>
      <c r="E20" s="120">
        <v>0</v>
      </c>
      <c r="F20" s="120">
        <v>0</v>
      </c>
      <c r="G20" s="120">
        <v>0</v>
      </c>
      <c r="H20" s="120">
        <v>12000</v>
      </c>
      <c r="I20" s="120">
        <v>0</v>
      </c>
      <c r="J20" s="120">
        <v>0</v>
      </c>
      <c r="K20" s="120">
        <v>0</v>
      </c>
      <c r="L20" s="369">
        <f t="shared" si="2"/>
        <v>12000</v>
      </c>
      <c r="M20" s="120">
        <v>0</v>
      </c>
      <c r="N20" s="120">
        <v>0</v>
      </c>
      <c r="O20" s="120">
        <v>0</v>
      </c>
      <c r="P20" s="120">
        <v>12000</v>
      </c>
      <c r="Q20" s="120">
        <v>0</v>
      </c>
      <c r="R20" s="120">
        <v>0</v>
      </c>
      <c r="S20" s="120">
        <v>0</v>
      </c>
    </row>
    <row r="21" spans="1:19" ht="29.25" customHeight="1">
      <c r="A21" s="313" t="s">
        <v>318</v>
      </c>
      <c r="B21" s="566" t="s">
        <v>407</v>
      </c>
      <c r="C21" s="567">
        <v>240</v>
      </c>
      <c r="D21" s="369">
        <f t="shared" si="0"/>
        <v>0</v>
      </c>
      <c r="E21" s="460">
        <v>0</v>
      </c>
      <c r="F21" s="460">
        <v>0</v>
      </c>
      <c r="G21" s="460">
        <v>0</v>
      </c>
      <c r="H21" s="460">
        <v>0</v>
      </c>
      <c r="I21" s="460">
        <v>0</v>
      </c>
      <c r="J21" s="460">
        <v>0</v>
      </c>
      <c r="K21" s="460">
        <v>0</v>
      </c>
      <c r="L21" s="369">
        <f t="shared" si="2"/>
        <v>0</v>
      </c>
      <c r="M21" s="460">
        <v>0</v>
      </c>
      <c r="N21" s="460">
        <v>0</v>
      </c>
      <c r="O21" s="460">
        <v>0</v>
      </c>
      <c r="P21" s="460">
        <v>0</v>
      </c>
      <c r="Q21" s="460">
        <v>0</v>
      </c>
      <c r="R21" s="460">
        <v>0</v>
      </c>
      <c r="S21" s="460">
        <v>0</v>
      </c>
    </row>
    <row r="22" spans="1:19" ht="36" customHeight="1">
      <c r="A22" s="313" t="s">
        <v>320</v>
      </c>
      <c r="B22" s="568" t="s">
        <v>738</v>
      </c>
      <c r="C22" s="565">
        <v>226</v>
      </c>
      <c r="D22" s="369">
        <f t="shared" si="0"/>
        <v>31600</v>
      </c>
      <c r="E22" s="309">
        <f>SUM(E24:E26)</f>
        <v>0</v>
      </c>
      <c r="F22" s="309">
        <f aca="true" t="shared" si="7" ref="F22:K22">SUM(F24:F26)</f>
        <v>0</v>
      </c>
      <c r="G22" s="309">
        <f t="shared" si="7"/>
        <v>0</v>
      </c>
      <c r="H22" s="309">
        <f t="shared" si="7"/>
        <v>31600</v>
      </c>
      <c r="I22" s="309">
        <f t="shared" si="7"/>
        <v>0</v>
      </c>
      <c r="J22" s="309">
        <f t="shared" si="7"/>
        <v>0</v>
      </c>
      <c r="K22" s="309">
        <f t="shared" si="7"/>
        <v>0</v>
      </c>
      <c r="L22" s="369">
        <f t="shared" si="2"/>
        <v>31600</v>
      </c>
      <c r="M22" s="309">
        <f>SUM(M24:M26)</f>
        <v>0</v>
      </c>
      <c r="N22" s="309">
        <f aca="true" t="shared" si="8" ref="N22:S22">SUM(N24:N26)</f>
        <v>0</v>
      </c>
      <c r="O22" s="309">
        <f t="shared" si="8"/>
        <v>0</v>
      </c>
      <c r="P22" s="309">
        <f t="shared" si="8"/>
        <v>31600</v>
      </c>
      <c r="Q22" s="309">
        <f t="shared" si="8"/>
        <v>0</v>
      </c>
      <c r="R22" s="309">
        <f t="shared" si="8"/>
        <v>0</v>
      </c>
      <c r="S22" s="309">
        <f t="shared" si="8"/>
        <v>0</v>
      </c>
    </row>
    <row r="23" spans="1:19" ht="15.75" customHeight="1" hidden="1">
      <c r="A23" s="313"/>
      <c r="B23" s="569" t="s">
        <v>93</v>
      </c>
      <c r="C23" s="485"/>
      <c r="D23" s="369" t="e">
        <f t="shared" si="0"/>
        <v>#REF!</v>
      </c>
      <c r="E23" s="120" t="e">
        <f>#REF!+#REF!+#REF!+#REF!</f>
        <v>#REF!</v>
      </c>
      <c r="F23" s="120" t="e">
        <f>#REF!+#REF!+#REF!+#REF!</f>
        <v>#REF!</v>
      </c>
      <c r="G23" s="120" t="e">
        <f>#REF!+#REF!+#REF!+#REF!</f>
        <v>#REF!</v>
      </c>
      <c r="H23" s="120" t="e">
        <f>#REF!+#REF!+#REF!+#REF!</f>
        <v>#REF!</v>
      </c>
      <c r="I23" s="120" t="e">
        <f>#REF!+#REF!+#REF!+#REF!</f>
        <v>#REF!</v>
      </c>
      <c r="J23" s="120" t="e">
        <f>#REF!+#REF!+#REF!+#REF!</f>
        <v>#REF!</v>
      </c>
      <c r="K23" s="120" t="e">
        <f>#REF!+#REF!+#REF!+#REF!</f>
        <v>#REF!</v>
      </c>
      <c r="L23" s="369" t="e">
        <f t="shared" si="2"/>
        <v>#REF!</v>
      </c>
      <c r="M23" s="120" t="e">
        <f>#REF!+#REF!+#REF!+#REF!</f>
        <v>#REF!</v>
      </c>
      <c r="N23" s="120" t="e">
        <f>#REF!+#REF!+#REF!+#REF!</f>
        <v>#REF!</v>
      </c>
      <c r="O23" s="120" t="e">
        <f>#REF!+#REF!+#REF!+#REF!</f>
        <v>#REF!</v>
      </c>
      <c r="P23" s="120" t="e">
        <f>#REF!+#REF!+#REF!+#REF!</f>
        <v>#REF!</v>
      </c>
      <c r="Q23" s="120" t="e">
        <f>#REF!+#REF!+#REF!+#REF!</f>
        <v>#REF!</v>
      </c>
      <c r="R23" s="120" t="e">
        <f>#REF!+#REF!+#REF!+#REF!</f>
        <v>#REF!</v>
      </c>
      <c r="S23" s="120" t="e">
        <f>#REF!+#REF!+#REF!+#REF!</f>
        <v>#REF!</v>
      </c>
    </row>
    <row r="24" spans="1:19" ht="24" customHeight="1">
      <c r="A24" s="313" t="s">
        <v>410</v>
      </c>
      <c r="B24" s="314" t="s">
        <v>94</v>
      </c>
      <c r="C24" s="423" t="s">
        <v>113</v>
      </c>
      <c r="D24" s="369">
        <f t="shared" si="0"/>
        <v>27600</v>
      </c>
      <c r="E24" s="120">
        <v>0</v>
      </c>
      <c r="F24" s="120">
        <v>0</v>
      </c>
      <c r="G24" s="120">
        <v>0</v>
      </c>
      <c r="H24" s="120">
        <v>27600</v>
      </c>
      <c r="I24" s="120">
        <v>0</v>
      </c>
      <c r="J24" s="120">
        <v>0</v>
      </c>
      <c r="K24" s="120">
        <v>0</v>
      </c>
      <c r="L24" s="369">
        <f t="shared" si="2"/>
        <v>27600</v>
      </c>
      <c r="M24" s="120">
        <v>0</v>
      </c>
      <c r="N24" s="120">
        <v>0</v>
      </c>
      <c r="O24" s="120">
        <v>0</v>
      </c>
      <c r="P24" s="120">
        <v>27600</v>
      </c>
      <c r="Q24" s="120">
        <v>0</v>
      </c>
      <c r="R24" s="120">
        <v>0</v>
      </c>
      <c r="S24" s="120">
        <v>0</v>
      </c>
    </row>
    <row r="25" spans="1:19" ht="30.75" customHeight="1">
      <c r="A25" s="313" t="s">
        <v>669</v>
      </c>
      <c r="B25" s="42" t="s">
        <v>64</v>
      </c>
      <c r="C25" s="320">
        <v>226</v>
      </c>
      <c r="D25" s="369">
        <f t="shared" si="0"/>
        <v>2000</v>
      </c>
      <c r="E25" s="120">
        <v>0</v>
      </c>
      <c r="F25" s="120">
        <v>0</v>
      </c>
      <c r="G25" s="120">
        <v>0</v>
      </c>
      <c r="H25" s="120">
        <v>2000</v>
      </c>
      <c r="I25" s="120">
        <v>0</v>
      </c>
      <c r="J25" s="120">
        <v>0</v>
      </c>
      <c r="K25" s="120">
        <v>0</v>
      </c>
      <c r="L25" s="369">
        <f t="shared" si="2"/>
        <v>2000</v>
      </c>
      <c r="M25" s="120">
        <v>0</v>
      </c>
      <c r="N25" s="120">
        <v>0</v>
      </c>
      <c r="O25" s="120">
        <v>0</v>
      </c>
      <c r="P25" s="120">
        <v>2000</v>
      </c>
      <c r="Q25" s="120">
        <v>0</v>
      </c>
      <c r="R25" s="120">
        <v>0</v>
      </c>
      <c r="S25" s="120">
        <v>0</v>
      </c>
    </row>
    <row r="26" spans="1:19" ht="36.75" customHeight="1">
      <c r="A26" s="313" t="s">
        <v>670</v>
      </c>
      <c r="B26" s="42" t="s">
        <v>66</v>
      </c>
      <c r="C26" s="320">
        <v>226</v>
      </c>
      <c r="D26" s="369">
        <f t="shared" si="0"/>
        <v>2000</v>
      </c>
      <c r="E26" s="120">
        <v>0</v>
      </c>
      <c r="F26" s="120">
        <v>0</v>
      </c>
      <c r="G26" s="120">
        <v>0</v>
      </c>
      <c r="H26" s="120">
        <v>2000</v>
      </c>
      <c r="I26" s="120">
        <v>0</v>
      </c>
      <c r="J26" s="120">
        <v>0</v>
      </c>
      <c r="K26" s="120">
        <v>0</v>
      </c>
      <c r="L26" s="369">
        <f t="shared" si="2"/>
        <v>2000</v>
      </c>
      <c r="M26" s="120">
        <v>0</v>
      </c>
      <c r="N26" s="120">
        <v>0</v>
      </c>
      <c r="O26" s="120">
        <v>0</v>
      </c>
      <c r="P26" s="120">
        <v>2000</v>
      </c>
      <c r="Q26" s="120">
        <v>0</v>
      </c>
      <c r="R26" s="120">
        <v>0</v>
      </c>
      <c r="S26" s="120">
        <v>0</v>
      </c>
    </row>
    <row r="27" spans="1:19" ht="0.75" customHeight="1" hidden="1">
      <c r="A27" s="313"/>
      <c r="B27" s="570"/>
      <c r="C27" s="486"/>
      <c r="D27" s="369">
        <f t="shared" si="0"/>
        <v>0</v>
      </c>
      <c r="E27" s="120"/>
      <c r="F27" s="120"/>
      <c r="G27" s="120"/>
      <c r="H27" s="120"/>
      <c r="I27" s="120"/>
      <c r="J27" s="120"/>
      <c r="K27" s="120"/>
      <c r="L27" s="369">
        <f t="shared" si="2"/>
        <v>0</v>
      </c>
      <c r="M27" s="120"/>
      <c r="N27" s="120"/>
      <c r="O27" s="120"/>
      <c r="P27" s="120"/>
      <c r="Q27" s="120"/>
      <c r="R27" s="120"/>
      <c r="S27" s="120"/>
    </row>
    <row r="28" spans="1:19" ht="15.75" customHeight="1" hidden="1">
      <c r="A28" s="313"/>
      <c r="B28" s="570"/>
      <c r="C28" s="486"/>
      <c r="D28" s="369">
        <f t="shared" si="0"/>
        <v>0</v>
      </c>
      <c r="E28" s="120"/>
      <c r="F28" s="120"/>
      <c r="G28" s="120"/>
      <c r="H28" s="120"/>
      <c r="I28" s="120"/>
      <c r="J28" s="120"/>
      <c r="K28" s="120"/>
      <c r="L28" s="369">
        <f t="shared" si="2"/>
        <v>0</v>
      </c>
      <c r="M28" s="120"/>
      <c r="N28" s="120"/>
      <c r="O28" s="120"/>
      <c r="P28" s="120"/>
      <c r="Q28" s="120"/>
      <c r="R28" s="120"/>
      <c r="S28" s="120"/>
    </row>
    <row r="29" spans="1:19" ht="38.25" customHeight="1">
      <c r="A29" s="313" t="s">
        <v>322</v>
      </c>
      <c r="B29" s="564" t="s">
        <v>816</v>
      </c>
      <c r="C29" s="565">
        <v>220</v>
      </c>
      <c r="D29" s="369">
        <f t="shared" si="0"/>
        <v>7209660.95</v>
      </c>
      <c r="E29" s="309">
        <f>E30+E33+E35+E39+E41+E60+E73+E75</f>
        <v>1999300</v>
      </c>
      <c r="F29" s="309">
        <f aca="true" t="shared" si="9" ref="F29:K29">F30+F33+F35+F39+F41+F60+F73+F75</f>
        <v>255860.95</v>
      </c>
      <c r="G29" s="309">
        <f t="shared" si="9"/>
        <v>0</v>
      </c>
      <c r="H29" s="309">
        <f t="shared" si="9"/>
        <v>4164000</v>
      </c>
      <c r="I29" s="309">
        <f t="shared" si="9"/>
        <v>0</v>
      </c>
      <c r="J29" s="309">
        <f t="shared" si="9"/>
        <v>0</v>
      </c>
      <c r="K29" s="309">
        <f t="shared" si="9"/>
        <v>790500</v>
      </c>
      <c r="L29" s="369">
        <f t="shared" si="2"/>
        <v>7250360.95</v>
      </c>
      <c r="M29" s="309">
        <f aca="true" t="shared" si="10" ref="M29:S29">M30+M33+M35+M39+M41+M60+M73+M75</f>
        <v>2040000</v>
      </c>
      <c r="N29" s="309">
        <f t="shared" si="10"/>
        <v>255860.95</v>
      </c>
      <c r="O29" s="309">
        <f t="shared" si="10"/>
        <v>0</v>
      </c>
      <c r="P29" s="309">
        <f t="shared" si="10"/>
        <v>4164000</v>
      </c>
      <c r="Q29" s="309">
        <f t="shared" si="10"/>
        <v>0</v>
      </c>
      <c r="R29" s="309">
        <f t="shared" si="10"/>
        <v>0</v>
      </c>
      <c r="S29" s="309">
        <f t="shared" si="10"/>
        <v>790500</v>
      </c>
    </row>
    <row r="30" spans="1:19" ht="23.25" customHeight="1">
      <c r="A30" s="571" t="s">
        <v>817</v>
      </c>
      <c r="B30" s="572" t="s">
        <v>414</v>
      </c>
      <c r="C30" s="573">
        <v>221</v>
      </c>
      <c r="D30" s="369">
        <f t="shared" si="0"/>
        <v>135600</v>
      </c>
      <c r="E30" s="309">
        <f>SUM(E31:E32)</f>
        <v>55200</v>
      </c>
      <c r="F30" s="309">
        <f aca="true" t="shared" si="11" ref="F30:K30">SUM(F31:F32)</f>
        <v>0</v>
      </c>
      <c r="G30" s="309">
        <f t="shared" si="11"/>
        <v>0</v>
      </c>
      <c r="H30" s="309">
        <f t="shared" si="11"/>
        <v>80400</v>
      </c>
      <c r="I30" s="309">
        <f t="shared" si="11"/>
        <v>0</v>
      </c>
      <c r="J30" s="309">
        <f t="shared" si="11"/>
        <v>0</v>
      </c>
      <c r="K30" s="309">
        <f t="shared" si="11"/>
        <v>0</v>
      </c>
      <c r="L30" s="369">
        <f t="shared" si="2"/>
        <v>135600</v>
      </c>
      <c r="M30" s="309">
        <f aca="true" t="shared" si="12" ref="M30:S30">SUM(M31:M32)</f>
        <v>55200</v>
      </c>
      <c r="N30" s="309">
        <f t="shared" si="12"/>
        <v>0</v>
      </c>
      <c r="O30" s="309">
        <f t="shared" si="12"/>
        <v>0</v>
      </c>
      <c r="P30" s="309">
        <f t="shared" si="12"/>
        <v>80400</v>
      </c>
      <c r="Q30" s="309">
        <f t="shared" si="12"/>
        <v>0</v>
      </c>
      <c r="R30" s="309">
        <f t="shared" si="12"/>
        <v>0</v>
      </c>
      <c r="S30" s="309">
        <f t="shared" si="12"/>
        <v>0</v>
      </c>
    </row>
    <row r="31" spans="1:19" ht="21.75" customHeight="1">
      <c r="A31" s="313" t="s">
        <v>732</v>
      </c>
      <c r="B31" s="311" t="s">
        <v>96</v>
      </c>
      <c r="C31" s="320">
        <v>221</v>
      </c>
      <c r="D31" s="369">
        <f t="shared" si="0"/>
        <v>93100</v>
      </c>
      <c r="E31" s="120">
        <v>36700</v>
      </c>
      <c r="F31" s="365">
        <v>0</v>
      </c>
      <c r="G31" s="120">
        <v>0</v>
      </c>
      <c r="H31" s="120">
        <v>56400</v>
      </c>
      <c r="I31" s="120">
        <v>0</v>
      </c>
      <c r="J31" s="120">
        <v>0</v>
      </c>
      <c r="K31" s="120">
        <v>0</v>
      </c>
      <c r="L31" s="369">
        <f t="shared" si="2"/>
        <v>93100</v>
      </c>
      <c r="M31" s="120">
        <v>36700</v>
      </c>
      <c r="N31" s="365">
        <v>0</v>
      </c>
      <c r="O31" s="120">
        <v>0</v>
      </c>
      <c r="P31" s="120">
        <v>56400</v>
      </c>
      <c r="Q31" s="120">
        <v>0</v>
      </c>
      <c r="R31" s="120">
        <v>0</v>
      </c>
      <c r="S31" s="120">
        <v>0</v>
      </c>
    </row>
    <row r="32" spans="1:19" ht="30.75" customHeight="1">
      <c r="A32" s="313" t="s">
        <v>733</v>
      </c>
      <c r="B32" s="311" t="s">
        <v>186</v>
      </c>
      <c r="C32" s="320">
        <v>221</v>
      </c>
      <c r="D32" s="369">
        <f t="shared" si="0"/>
        <v>42500</v>
      </c>
      <c r="E32" s="120">
        <v>18500</v>
      </c>
      <c r="F32" s="365">
        <v>0</v>
      </c>
      <c r="G32" s="120">
        <v>0</v>
      </c>
      <c r="H32" s="120">
        <v>24000</v>
      </c>
      <c r="I32" s="120">
        <v>0</v>
      </c>
      <c r="J32" s="120">
        <v>0</v>
      </c>
      <c r="K32" s="120">
        <v>0</v>
      </c>
      <c r="L32" s="369">
        <f t="shared" si="2"/>
        <v>42500</v>
      </c>
      <c r="M32" s="120">
        <v>18500</v>
      </c>
      <c r="N32" s="365">
        <v>0</v>
      </c>
      <c r="O32" s="120">
        <v>0</v>
      </c>
      <c r="P32" s="120">
        <v>24000</v>
      </c>
      <c r="Q32" s="120">
        <v>0</v>
      </c>
      <c r="R32" s="120">
        <v>0</v>
      </c>
      <c r="S32" s="120">
        <v>0</v>
      </c>
    </row>
    <row r="33" spans="1:19" ht="20.25" customHeight="1">
      <c r="A33" s="574" t="s">
        <v>734</v>
      </c>
      <c r="B33" s="575" t="s">
        <v>418</v>
      </c>
      <c r="C33" s="576">
        <v>222</v>
      </c>
      <c r="D33" s="369">
        <f t="shared" si="0"/>
        <v>13780</v>
      </c>
      <c r="E33" s="309">
        <f>E34</f>
        <v>0</v>
      </c>
      <c r="F33" s="309">
        <f aca="true" t="shared" si="13" ref="F33:K33">F34</f>
        <v>8480</v>
      </c>
      <c r="G33" s="309">
        <f t="shared" si="13"/>
        <v>0</v>
      </c>
      <c r="H33" s="309">
        <f t="shared" si="13"/>
        <v>5300</v>
      </c>
      <c r="I33" s="309">
        <f t="shared" si="13"/>
        <v>0</v>
      </c>
      <c r="J33" s="309">
        <f t="shared" si="13"/>
        <v>0</v>
      </c>
      <c r="K33" s="309">
        <f t="shared" si="13"/>
        <v>0</v>
      </c>
      <c r="L33" s="369">
        <f t="shared" si="2"/>
        <v>13780</v>
      </c>
      <c r="M33" s="309">
        <f aca="true" t="shared" si="14" ref="M33:S33">M34</f>
        <v>0</v>
      </c>
      <c r="N33" s="309">
        <f t="shared" si="14"/>
        <v>8480</v>
      </c>
      <c r="O33" s="309">
        <f t="shared" si="14"/>
        <v>0</v>
      </c>
      <c r="P33" s="309">
        <f t="shared" si="14"/>
        <v>5300</v>
      </c>
      <c r="Q33" s="309">
        <f t="shared" si="14"/>
        <v>0</v>
      </c>
      <c r="R33" s="309">
        <f t="shared" si="14"/>
        <v>0</v>
      </c>
      <c r="S33" s="309">
        <f t="shared" si="14"/>
        <v>0</v>
      </c>
    </row>
    <row r="34" spans="1:19" ht="15.75" customHeight="1">
      <c r="A34" s="463" t="s">
        <v>735</v>
      </c>
      <c r="B34" s="311" t="s">
        <v>418</v>
      </c>
      <c r="C34" s="464">
        <v>222</v>
      </c>
      <c r="D34" s="369">
        <f t="shared" si="0"/>
        <v>13780</v>
      </c>
      <c r="E34" s="120">
        <v>0</v>
      </c>
      <c r="F34" s="365">
        <v>8480</v>
      </c>
      <c r="G34" s="120">
        <v>0</v>
      </c>
      <c r="H34" s="120">
        <v>5300</v>
      </c>
      <c r="I34" s="120">
        <v>0</v>
      </c>
      <c r="J34" s="120">
        <v>0</v>
      </c>
      <c r="K34" s="120">
        <v>0</v>
      </c>
      <c r="L34" s="369">
        <f t="shared" si="2"/>
        <v>13780</v>
      </c>
      <c r="M34" s="120">
        <v>0</v>
      </c>
      <c r="N34" s="365">
        <v>8480</v>
      </c>
      <c r="O34" s="120">
        <v>0</v>
      </c>
      <c r="P34" s="120">
        <v>5300</v>
      </c>
      <c r="Q34" s="120">
        <v>0</v>
      </c>
      <c r="R34" s="120">
        <v>0</v>
      </c>
      <c r="S34" s="120">
        <v>0</v>
      </c>
    </row>
    <row r="35" spans="1:19" ht="15.75" customHeight="1">
      <c r="A35" s="571" t="s">
        <v>739</v>
      </c>
      <c r="B35" s="572" t="s">
        <v>97</v>
      </c>
      <c r="C35" s="573">
        <v>223</v>
      </c>
      <c r="D35" s="369">
        <f t="shared" si="0"/>
        <v>2116200</v>
      </c>
      <c r="E35" s="309">
        <f>SUM(E36:E38)</f>
        <v>993300</v>
      </c>
      <c r="F35" s="309">
        <f aca="true" t="shared" si="15" ref="F35:K35">SUM(F36:F38)</f>
        <v>0</v>
      </c>
      <c r="G35" s="309">
        <f t="shared" si="15"/>
        <v>0</v>
      </c>
      <c r="H35" s="309">
        <f t="shared" si="15"/>
        <v>922900</v>
      </c>
      <c r="I35" s="309">
        <f t="shared" si="15"/>
        <v>0</v>
      </c>
      <c r="J35" s="309">
        <f t="shared" si="15"/>
        <v>0</v>
      </c>
      <c r="K35" s="309">
        <f t="shared" si="15"/>
        <v>200000</v>
      </c>
      <c r="L35" s="369">
        <f t="shared" si="2"/>
        <v>2156900</v>
      </c>
      <c r="M35" s="309">
        <f aca="true" t="shared" si="16" ref="M35:S35">SUM(M36:M38)</f>
        <v>1034000</v>
      </c>
      <c r="N35" s="309">
        <f t="shared" si="16"/>
        <v>0</v>
      </c>
      <c r="O35" s="309">
        <f t="shared" si="16"/>
        <v>0</v>
      </c>
      <c r="P35" s="309">
        <f t="shared" si="16"/>
        <v>922900</v>
      </c>
      <c r="Q35" s="309">
        <f t="shared" si="16"/>
        <v>0</v>
      </c>
      <c r="R35" s="309">
        <f t="shared" si="16"/>
        <v>0</v>
      </c>
      <c r="S35" s="309">
        <f t="shared" si="16"/>
        <v>200000</v>
      </c>
    </row>
    <row r="36" spans="1:19" ht="15.75" customHeight="1">
      <c r="A36" s="313" t="s">
        <v>740</v>
      </c>
      <c r="B36" s="311" t="s">
        <v>25</v>
      </c>
      <c r="C36" s="465">
        <v>223</v>
      </c>
      <c r="D36" s="369">
        <f t="shared" si="0"/>
        <v>954400</v>
      </c>
      <c r="E36" s="120">
        <f>454444.64-44.64</f>
        <v>454400</v>
      </c>
      <c r="F36" s="120">
        <v>0</v>
      </c>
      <c r="G36" s="120">
        <v>0</v>
      </c>
      <c r="H36" s="120">
        <v>400000</v>
      </c>
      <c r="I36" s="120">
        <v>0</v>
      </c>
      <c r="J36" s="120">
        <v>0</v>
      </c>
      <c r="K36" s="120">
        <v>100000</v>
      </c>
      <c r="L36" s="369">
        <f t="shared" si="2"/>
        <v>972600</v>
      </c>
      <c r="M36" s="120">
        <v>472600</v>
      </c>
      <c r="N36" s="120">
        <v>0</v>
      </c>
      <c r="O36" s="120">
        <v>0</v>
      </c>
      <c r="P36" s="120">
        <v>400000</v>
      </c>
      <c r="Q36" s="120">
        <v>0</v>
      </c>
      <c r="R36" s="120">
        <v>0</v>
      </c>
      <c r="S36" s="120">
        <v>100000</v>
      </c>
    </row>
    <row r="37" spans="1:19" ht="18.75" customHeight="1">
      <c r="A37" s="313" t="s">
        <v>741</v>
      </c>
      <c r="B37" s="315" t="s">
        <v>26</v>
      </c>
      <c r="C37" s="465">
        <v>223</v>
      </c>
      <c r="D37" s="369">
        <f t="shared" si="0"/>
        <v>1113600</v>
      </c>
      <c r="E37" s="120">
        <f>513634.32-34.32</f>
        <v>513600</v>
      </c>
      <c r="F37" s="120">
        <v>0</v>
      </c>
      <c r="G37" s="120">
        <v>0</v>
      </c>
      <c r="H37" s="120">
        <v>500000</v>
      </c>
      <c r="I37" s="120">
        <v>0</v>
      </c>
      <c r="J37" s="120">
        <v>0</v>
      </c>
      <c r="K37" s="120">
        <v>100000</v>
      </c>
      <c r="L37" s="369">
        <f t="shared" si="2"/>
        <v>1134100</v>
      </c>
      <c r="M37" s="120">
        <v>534100</v>
      </c>
      <c r="N37" s="120">
        <v>0</v>
      </c>
      <c r="O37" s="120">
        <v>0</v>
      </c>
      <c r="P37" s="120">
        <v>500000</v>
      </c>
      <c r="Q37" s="120">
        <v>0</v>
      </c>
      <c r="R37" s="120">
        <v>0</v>
      </c>
      <c r="S37" s="120">
        <v>100000</v>
      </c>
    </row>
    <row r="38" spans="1:19" ht="18" customHeight="1">
      <c r="A38" s="313" t="s">
        <v>744</v>
      </c>
      <c r="B38" s="311" t="s">
        <v>714</v>
      </c>
      <c r="C38" s="465">
        <v>223</v>
      </c>
      <c r="D38" s="369">
        <f t="shared" si="0"/>
        <v>48200</v>
      </c>
      <c r="E38" s="120">
        <f>25300</f>
        <v>25300</v>
      </c>
      <c r="F38" s="120">
        <v>0</v>
      </c>
      <c r="G38" s="120">
        <v>0</v>
      </c>
      <c r="H38" s="120">
        <v>22900</v>
      </c>
      <c r="I38" s="120">
        <v>0</v>
      </c>
      <c r="J38" s="120">
        <v>0</v>
      </c>
      <c r="K38" s="120">
        <v>0</v>
      </c>
      <c r="L38" s="369">
        <f t="shared" si="2"/>
        <v>50200</v>
      </c>
      <c r="M38" s="120">
        <v>27300</v>
      </c>
      <c r="N38" s="120">
        <v>0</v>
      </c>
      <c r="O38" s="120">
        <v>0</v>
      </c>
      <c r="P38" s="120">
        <v>22900</v>
      </c>
      <c r="Q38" s="120">
        <v>0</v>
      </c>
      <c r="R38" s="120">
        <v>0</v>
      </c>
      <c r="S38" s="120">
        <v>0</v>
      </c>
    </row>
    <row r="39" spans="1:19" ht="33" customHeight="1">
      <c r="A39" s="571" t="s">
        <v>742</v>
      </c>
      <c r="B39" s="577" t="s">
        <v>427</v>
      </c>
      <c r="C39" s="573">
        <v>224</v>
      </c>
      <c r="D39" s="369">
        <f t="shared" si="0"/>
        <v>235000</v>
      </c>
      <c r="E39" s="309">
        <f>E40</f>
        <v>0</v>
      </c>
      <c r="F39" s="309">
        <f aca="true" t="shared" si="17" ref="F39:K39">F40</f>
        <v>0</v>
      </c>
      <c r="G39" s="309">
        <f t="shared" si="17"/>
        <v>0</v>
      </c>
      <c r="H39" s="309">
        <f t="shared" si="17"/>
        <v>235000</v>
      </c>
      <c r="I39" s="309">
        <f t="shared" si="17"/>
        <v>0</v>
      </c>
      <c r="J39" s="309">
        <f t="shared" si="17"/>
        <v>0</v>
      </c>
      <c r="K39" s="309">
        <f t="shared" si="17"/>
        <v>0</v>
      </c>
      <c r="L39" s="369">
        <f t="shared" si="2"/>
        <v>235000</v>
      </c>
      <c r="M39" s="309">
        <f aca="true" t="shared" si="18" ref="M39:S39">M40</f>
        <v>0</v>
      </c>
      <c r="N39" s="309">
        <f t="shared" si="18"/>
        <v>0</v>
      </c>
      <c r="O39" s="309">
        <f t="shared" si="18"/>
        <v>0</v>
      </c>
      <c r="P39" s="309">
        <f t="shared" si="18"/>
        <v>235000</v>
      </c>
      <c r="Q39" s="309">
        <f t="shared" si="18"/>
        <v>0</v>
      </c>
      <c r="R39" s="309">
        <f t="shared" si="18"/>
        <v>0</v>
      </c>
      <c r="S39" s="309">
        <f t="shared" si="18"/>
        <v>0</v>
      </c>
    </row>
    <row r="40" spans="1:19" ht="18" customHeight="1">
      <c r="A40" s="312" t="s">
        <v>743</v>
      </c>
      <c r="B40" s="461" t="s">
        <v>718</v>
      </c>
      <c r="C40" s="462">
        <v>224</v>
      </c>
      <c r="D40" s="369">
        <f t="shared" si="0"/>
        <v>235000</v>
      </c>
      <c r="E40" s="120">
        <v>0</v>
      </c>
      <c r="F40" s="120">
        <v>0</v>
      </c>
      <c r="G40" s="120">
        <v>0</v>
      </c>
      <c r="H40" s="120">
        <v>235000</v>
      </c>
      <c r="I40" s="120">
        <v>0</v>
      </c>
      <c r="J40" s="120">
        <v>0</v>
      </c>
      <c r="K40" s="120">
        <v>0</v>
      </c>
      <c r="L40" s="369">
        <f t="shared" si="2"/>
        <v>235000</v>
      </c>
      <c r="M40" s="120">
        <v>0</v>
      </c>
      <c r="N40" s="120">
        <v>0</v>
      </c>
      <c r="O40" s="120">
        <v>0</v>
      </c>
      <c r="P40" s="120">
        <v>235000</v>
      </c>
      <c r="Q40" s="120">
        <v>0</v>
      </c>
      <c r="R40" s="120">
        <v>0</v>
      </c>
      <c r="S40" s="120">
        <v>0</v>
      </c>
    </row>
    <row r="41" spans="1:19" ht="48.75" customHeight="1">
      <c r="A41" s="571" t="s">
        <v>745</v>
      </c>
      <c r="B41" s="578" t="s">
        <v>98</v>
      </c>
      <c r="C41" s="573">
        <v>225</v>
      </c>
      <c r="D41" s="369">
        <f aca="true" t="shared" si="19" ref="D41:D72">E41+F41+G41+H41+I41+J41+K41</f>
        <v>1826000</v>
      </c>
      <c r="E41" s="309">
        <f>SUM(E42:E59)</f>
        <v>641300</v>
      </c>
      <c r="F41" s="309">
        <f aca="true" t="shared" si="20" ref="F41:K41">SUM(F42:F59)</f>
        <v>0</v>
      </c>
      <c r="G41" s="309">
        <f t="shared" si="20"/>
        <v>0</v>
      </c>
      <c r="H41" s="309">
        <f t="shared" si="20"/>
        <v>1184700</v>
      </c>
      <c r="I41" s="309">
        <f t="shared" si="20"/>
        <v>0</v>
      </c>
      <c r="J41" s="309">
        <f t="shared" si="20"/>
        <v>0</v>
      </c>
      <c r="K41" s="309">
        <f t="shared" si="20"/>
        <v>0</v>
      </c>
      <c r="L41" s="369">
        <f aca="true" t="shared" si="21" ref="L41:L72">M41+N41+O41+P41+Q41+R41+S41</f>
        <v>1826000</v>
      </c>
      <c r="M41" s="309">
        <f aca="true" t="shared" si="22" ref="M41:S41">SUM(M42:M59)</f>
        <v>641300</v>
      </c>
      <c r="N41" s="309">
        <f t="shared" si="22"/>
        <v>0</v>
      </c>
      <c r="O41" s="309">
        <f t="shared" si="22"/>
        <v>0</v>
      </c>
      <c r="P41" s="309">
        <f t="shared" si="22"/>
        <v>1184700</v>
      </c>
      <c r="Q41" s="309">
        <f t="shared" si="22"/>
        <v>0</v>
      </c>
      <c r="R41" s="309">
        <f t="shared" si="22"/>
        <v>0</v>
      </c>
      <c r="S41" s="309">
        <f t="shared" si="22"/>
        <v>0</v>
      </c>
    </row>
    <row r="42" spans="1:19" ht="33" customHeight="1">
      <c r="A42" s="312" t="s">
        <v>639</v>
      </c>
      <c r="B42" s="461" t="s">
        <v>39</v>
      </c>
      <c r="C42" s="469">
        <v>225</v>
      </c>
      <c r="D42" s="369">
        <f t="shared" si="19"/>
        <v>311100</v>
      </c>
      <c r="E42" s="120">
        <v>148100</v>
      </c>
      <c r="F42" s="120">
        <v>0</v>
      </c>
      <c r="G42" s="120">
        <v>0</v>
      </c>
      <c r="H42" s="120">
        <v>163000</v>
      </c>
      <c r="I42" s="120">
        <v>0</v>
      </c>
      <c r="J42" s="120">
        <v>0</v>
      </c>
      <c r="K42" s="120">
        <v>0</v>
      </c>
      <c r="L42" s="369">
        <f t="shared" si="21"/>
        <v>311100</v>
      </c>
      <c r="M42" s="120">
        <v>148100</v>
      </c>
      <c r="N42" s="120">
        <v>0</v>
      </c>
      <c r="O42" s="120">
        <v>0</v>
      </c>
      <c r="P42" s="120">
        <v>163000</v>
      </c>
      <c r="Q42" s="120">
        <v>0</v>
      </c>
      <c r="R42" s="120">
        <v>0</v>
      </c>
      <c r="S42" s="120">
        <v>0</v>
      </c>
    </row>
    <row r="43" spans="1:19" ht="28.5" customHeight="1">
      <c r="A43" s="312" t="s">
        <v>746</v>
      </c>
      <c r="B43" s="461" t="s">
        <v>44</v>
      </c>
      <c r="C43" s="469">
        <v>225</v>
      </c>
      <c r="D43" s="369">
        <f t="shared" si="19"/>
        <v>214600</v>
      </c>
      <c r="E43" s="120">
        <v>93800</v>
      </c>
      <c r="F43" s="120">
        <v>0</v>
      </c>
      <c r="G43" s="120">
        <v>0</v>
      </c>
      <c r="H43" s="120">
        <v>120800</v>
      </c>
      <c r="I43" s="120">
        <v>0</v>
      </c>
      <c r="J43" s="120">
        <v>0</v>
      </c>
      <c r="K43" s="120">
        <v>0</v>
      </c>
      <c r="L43" s="369">
        <f t="shared" si="21"/>
        <v>214600</v>
      </c>
      <c r="M43" s="120">
        <v>93800</v>
      </c>
      <c r="N43" s="120">
        <v>0</v>
      </c>
      <c r="O43" s="120">
        <v>0</v>
      </c>
      <c r="P43" s="120">
        <v>120800</v>
      </c>
      <c r="Q43" s="120">
        <v>0</v>
      </c>
      <c r="R43" s="120">
        <v>0</v>
      </c>
      <c r="S43" s="120">
        <v>0</v>
      </c>
    </row>
    <row r="44" spans="1:19" ht="18.75" customHeight="1">
      <c r="A44" s="312" t="s">
        <v>747</v>
      </c>
      <c r="B44" s="461" t="s">
        <v>45</v>
      </c>
      <c r="C44" s="469">
        <v>225</v>
      </c>
      <c r="D44" s="369">
        <f t="shared" si="19"/>
        <v>238400</v>
      </c>
      <c r="E44" s="120">
        <v>119900</v>
      </c>
      <c r="F44" s="120">
        <v>0</v>
      </c>
      <c r="G44" s="120">
        <v>0</v>
      </c>
      <c r="H44" s="120">
        <v>118500</v>
      </c>
      <c r="I44" s="120">
        <v>0</v>
      </c>
      <c r="J44" s="120">
        <v>0</v>
      </c>
      <c r="K44" s="120">
        <v>0</v>
      </c>
      <c r="L44" s="369">
        <f t="shared" si="21"/>
        <v>238400</v>
      </c>
      <c r="M44" s="120">
        <v>119900</v>
      </c>
      <c r="N44" s="120">
        <v>0</v>
      </c>
      <c r="O44" s="120">
        <v>0</v>
      </c>
      <c r="P44" s="120">
        <v>118500</v>
      </c>
      <c r="Q44" s="120">
        <v>0</v>
      </c>
      <c r="R44" s="120">
        <v>0</v>
      </c>
      <c r="S44" s="120">
        <v>0</v>
      </c>
    </row>
    <row r="45" spans="1:19" ht="19.5" customHeight="1">
      <c r="A45" s="312" t="s">
        <v>748</v>
      </c>
      <c r="B45" s="461" t="s">
        <v>46</v>
      </c>
      <c r="C45" s="469">
        <v>225</v>
      </c>
      <c r="D45" s="369">
        <f t="shared" si="19"/>
        <v>540000</v>
      </c>
      <c r="E45" s="120">
        <v>265000</v>
      </c>
      <c r="F45" s="120">
        <v>0</v>
      </c>
      <c r="G45" s="120">
        <v>0</v>
      </c>
      <c r="H45" s="120">
        <v>275000</v>
      </c>
      <c r="I45" s="120">
        <v>0</v>
      </c>
      <c r="J45" s="120">
        <v>0</v>
      </c>
      <c r="K45" s="120">
        <v>0</v>
      </c>
      <c r="L45" s="369">
        <f t="shared" si="21"/>
        <v>540000</v>
      </c>
      <c r="M45" s="120">
        <v>265000</v>
      </c>
      <c r="N45" s="120">
        <v>0</v>
      </c>
      <c r="O45" s="120">
        <v>0</v>
      </c>
      <c r="P45" s="120">
        <v>275000</v>
      </c>
      <c r="Q45" s="120">
        <v>0</v>
      </c>
      <c r="R45" s="120">
        <v>0</v>
      </c>
      <c r="S45" s="120">
        <v>0</v>
      </c>
    </row>
    <row r="46" spans="1:19" ht="18" customHeight="1">
      <c r="A46" s="312" t="s">
        <v>749</v>
      </c>
      <c r="B46" s="461" t="s">
        <v>689</v>
      </c>
      <c r="C46" s="469">
        <v>225</v>
      </c>
      <c r="D46" s="369">
        <f t="shared" si="19"/>
        <v>17600</v>
      </c>
      <c r="E46" s="120">
        <f>'Пр. №4 2019 год '!E49</f>
        <v>0</v>
      </c>
      <c r="F46" s="120">
        <v>0</v>
      </c>
      <c r="G46" s="120">
        <v>0</v>
      </c>
      <c r="H46" s="120">
        <v>17600</v>
      </c>
      <c r="I46" s="120">
        <v>0</v>
      </c>
      <c r="J46" s="120">
        <v>0</v>
      </c>
      <c r="K46" s="120">
        <v>0</v>
      </c>
      <c r="L46" s="369">
        <f t="shared" si="21"/>
        <v>17600</v>
      </c>
      <c r="M46" s="120">
        <f>'Пр. №4 2019 год '!M49</f>
        <v>0</v>
      </c>
      <c r="N46" s="120">
        <v>0</v>
      </c>
      <c r="O46" s="120">
        <v>0</v>
      </c>
      <c r="P46" s="120">
        <v>17600</v>
      </c>
      <c r="Q46" s="120">
        <v>0</v>
      </c>
      <c r="R46" s="120">
        <v>0</v>
      </c>
      <c r="S46" s="120">
        <v>0</v>
      </c>
    </row>
    <row r="47" spans="1:19" ht="17.25" customHeight="1">
      <c r="A47" s="312" t="s">
        <v>750</v>
      </c>
      <c r="B47" s="461" t="s">
        <v>47</v>
      </c>
      <c r="C47" s="469">
        <v>225</v>
      </c>
      <c r="D47" s="369">
        <f t="shared" si="19"/>
        <v>4000</v>
      </c>
      <c r="E47" s="120">
        <v>0</v>
      </c>
      <c r="F47" s="120">
        <v>0</v>
      </c>
      <c r="G47" s="120">
        <v>0</v>
      </c>
      <c r="H47" s="120">
        <v>4000</v>
      </c>
      <c r="I47" s="120">
        <v>0</v>
      </c>
      <c r="J47" s="120">
        <v>0</v>
      </c>
      <c r="K47" s="120">
        <v>0</v>
      </c>
      <c r="L47" s="369">
        <f t="shared" si="21"/>
        <v>4000</v>
      </c>
      <c r="M47" s="120">
        <v>0</v>
      </c>
      <c r="N47" s="120">
        <v>0</v>
      </c>
      <c r="O47" s="120">
        <v>0</v>
      </c>
      <c r="P47" s="120">
        <v>4000</v>
      </c>
      <c r="Q47" s="120">
        <v>0</v>
      </c>
      <c r="R47" s="120">
        <v>0</v>
      </c>
      <c r="S47" s="120">
        <v>0</v>
      </c>
    </row>
    <row r="48" spans="1:19" ht="19.5" customHeight="1">
      <c r="A48" s="312" t="s">
        <v>751</v>
      </c>
      <c r="B48" s="461" t="s">
        <v>99</v>
      </c>
      <c r="C48" s="469">
        <v>225</v>
      </c>
      <c r="D48" s="369">
        <f t="shared" si="19"/>
        <v>91200</v>
      </c>
      <c r="E48" s="120">
        <f>'Пр. №4 2019 год '!E50</f>
        <v>0</v>
      </c>
      <c r="F48" s="120">
        <v>0</v>
      </c>
      <c r="G48" s="120">
        <v>0</v>
      </c>
      <c r="H48" s="120">
        <v>91200</v>
      </c>
      <c r="I48" s="120">
        <v>0</v>
      </c>
      <c r="J48" s="120">
        <v>0</v>
      </c>
      <c r="K48" s="120">
        <v>0</v>
      </c>
      <c r="L48" s="369">
        <f t="shared" si="21"/>
        <v>91200</v>
      </c>
      <c r="M48" s="120">
        <f>'Пр. №4 2019 год '!M50</f>
        <v>0</v>
      </c>
      <c r="N48" s="120">
        <v>0</v>
      </c>
      <c r="O48" s="120">
        <v>0</v>
      </c>
      <c r="P48" s="120">
        <v>91200</v>
      </c>
      <c r="Q48" s="120">
        <v>0</v>
      </c>
      <c r="R48" s="120">
        <v>0</v>
      </c>
      <c r="S48" s="120">
        <v>0</v>
      </c>
    </row>
    <row r="49" spans="1:19" ht="22.5" customHeight="1">
      <c r="A49" s="312" t="s">
        <v>752</v>
      </c>
      <c r="B49" s="461" t="s">
        <v>49</v>
      </c>
      <c r="C49" s="469">
        <v>225</v>
      </c>
      <c r="D49" s="369">
        <f t="shared" si="19"/>
        <v>169300</v>
      </c>
      <c r="E49" s="120">
        <v>0</v>
      </c>
      <c r="F49" s="120">
        <v>0</v>
      </c>
      <c r="G49" s="120">
        <v>0</v>
      </c>
      <c r="H49" s="120">
        <v>169300</v>
      </c>
      <c r="I49" s="120">
        <v>0</v>
      </c>
      <c r="J49" s="120">
        <v>0</v>
      </c>
      <c r="K49" s="120">
        <v>0</v>
      </c>
      <c r="L49" s="369">
        <f t="shared" si="21"/>
        <v>169300</v>
      </c>
      <c r="M49" s="120">
        <v>0</v>
      </c>
      <c r="N49" s="120">
        <v>0</v>
      </c>
      <c r="O49" s="120">
        <v>0</v>
      </c>
      <c r="P49" s="120">
        <v>169300</v>
      </c>
      <c r="Q49" s="120">
        <v>0</v>
      </c>
      <c r="R49" s="120">
        <v>0</v>
      </c>
      <c r="S49" s="120">
        <v>0</v>
      </c>
    </row>
    <row r="50" spans="1:19" ht="19.5" customHeight="1">
      <c r="A50" s="312" t="s">
        <v>753</v>
      </c>
      <c r="B50" s="506" t="s">
        <v>50</v>
      </c>
      <c r="C50" s="469">
        <v>225</v>
      </c>
      <c r="D50" s="369">
        <f t="shared" si="19"/>
        <v>40000</v>
      </c>
      <c r="E50" s="120">
        <v>0</v>
      </c>
      <c r="F50" s="120">
        <v>0</v>
      </c>
      <c r="G50" s="120">
        <v>0</v>
      </c>
      <c r="H50" s="120">
        <v>40000</v>
      </c>
      <c r="I50" s="120">
        <v>0</v>
      </c>
      <c r="J50" s="120">
        <v>0</v>
      </c>
      <c r="K50" s="120">
        <v>0</v>
      </c>
      <c r="L50" s="369">
        <f t="shared" si="21"/>
        <v>40000</v>
      </c>
      <c r="M50" s="120">
        <v>0</v>
      </c>
      <c r="N50" s="120">
        <v>0</v>
      </c>
      <c r="O50" s="120">
        <v>0</v>
      </c>
      <c r="P50" s="120">
        <v>40000</v>
      </c>
      <c r="Q50" s="120">
        <v>0</v>
      </c>
      <c r="R50" s="120">
        <v>0</v>
      </c>
      <c r="S50" s="120">
        <v>0</v>
      </c>
    </row>
    <row r="51" spans="1:19" ht="27.75" customHeight="1">
      <c r="A51" s="312" t="s">
        <v>754</v>
      </c>
      <c r="B51" s="506" t="s">
        <v>51</v>
      </c>
      <c r="C51" s="469">
        <v>225</v>
      </c>
      <c r="D51" s="369">
        <f t="shared" si="19"/>
        <v>1400</v>
      </c>
      <c r="E51" s="120">
        <v>0</v>
      </c>
      <c r="F51" s="120">
        <v>0</v>
      </c>
      <c r="G51" s="120">
        <v>0</v>
      </c>
      <c r="H51" s="120">
        <v>1400</v>
      </c>
      <c r="I51" s="120">
        <v>0</v>
      </c>
      <c r="J51" s="120">
        <v>0</v>
      </c>
      <c r="K51" s="120">
        <v>0</v>
      </c>
      <c r="L51" s="369">
        <f t="shared" si="21"/>
        <v>1400</v>
      </c>
      <c r="M51" s="120">
        <v>0</v>
      </c>
      <c r="N51" s="120">
        <v>0</v>
      </c>
      <c r="O51" s="120">
        <v>0</v>
      </c>
      <c r="P51" s="120">
        <v>1400</v>
      </c>
      <c r="Q51" s="120">
        <v>0</v>
      </c>
      <c r="R51" s="120">
        <v>0</v>
      </c>
      <c r="S51" s="120">
        <v>0</v>
      </c>
    </row>
    <row r="52" spans="1:19" ht="27.75" customHeight="1">
      <c r="A52" s="312" t="s">
        <v>755</v>
      </c>
      <c r="B52" s="524" t="s">
        <v>55</v>
      </c>
      <c r="C52" s="469">
        <v>225</v>
      </c>
      <c r="D52" s="369">
        <f t="shared" si="19"/>
        <v>15000</v>
      </c>
      <c r="E52" s="120">
        <v>0</v>
      </c>
      <c r="F52" s="120">
        <v>0</v>
      </c>
      <c r="G52" s="120">
        <v>0</v>
      </c>
      <c r="H52" s="120">
        <v>15000</v>
      </c>
      <c r="I52" s="120">
        <v>0</v>
      </c>
      <c r="J52" s="120">
        <v>0</v>
      </c>
      <c r="K52" s="120">
        <v>0</v>
      </c>
      <c r="L52" s="369">
        <f t="shared" si="21"/>
        <v>15000</v>
      </c>
      <c r="M52" s="120">
        <v>0</v>
      </c>
      <c r="N52" s="120">
        <v>0</v>
      </c>
      <c r="O52" s="120">
        <v>0</v>
      </c>
      <c r="P52" s="120">
        <v>15000</v>
      </c>
      <c r="Q52" s="120">
        <v>0</v>
      </c>
      <c r="R52" s="120">
        <v>0</v>
      </c>
      <c r="S52" s="120">
        <v>0</v>
      </c>
    </row>
    <row r="53" spans="1:19" ht="21" customHeight="1">
      <c r="A53" s="312" t="s">
        <v>756</v>
      </c>
      <c r="B53" s="506" t="s">
        <v>833</v>
      </c>
      <c r="C53" s="469">
        <v>225</v>
      </c>
      <c r="D53" s="369">
        <f t="shared" si="19"/>
        <v>14000</v>
      </c>
      <c r="E53" s="120">
        <v>0</v>
      </c>
      <c r="F53" s="120">
        <v>0</v>
      </c>
      <c r="G53" s="120">
        <v>0</v>
      </c>
      <c r="H53" s="120">
        <v>14000</v>
      </c>
      <c r="I53" s="120">
        <v>0</v>
      </c>
      <c r="J53" s="120">
        <v>0</v>
      </c>
      <c r="K53" s="120">
        <v>0</v>
      </c>
      <c r="L53" s="369">
        <f t="shared" si="21"/>
        <v>14000</v>
      </c>
      <c r="M53" s="120">
        <v>0</v>
      </c>
      <c r="N53" s="120">
        <v>0</v>
      </c>
      <c r="O53" s="120">
        <v>0</v>
      </c>
      <c r="P53" s="120">
        <v>14000</v>
      </c>
      <c r="Q53" s="120">
        <v>0</v>
      </c>
      <c r="R53" s="120">
        <v>0</v>
      </c>
      <c r="S53" s="120">
        <v>0</v>
      </c>
    </row>
    <row r="54" spans="1:19" ht="24" customHeight="1">
      <c r="A54" s="312" t="s">
        <v>757</v>
      </c>
      <c r="B54" s="506" t="s">
        <v>53</v>
      </c>
      <c r="C54" s="469">
        <v>225</v>
      </c>
      <c r="D54" s="369">
        <f t="shared" si="19"/>
        <v>23000</v>
      </c>
      <c r="E54" s="120">
        <v>7000</v>
      </c>
      <c r="F54" s="120">
        <v>0</v>
      </c>
      <c r="G54" s="120">
        <v>0</v>
      </c>
      <c r="H54" s="120">
        <v>16000</v>
      </c>
      <c r="I54" s="120">
        <v>0</v>
      </c>
      <c r="J54" s="120">
        <v>0</v>
      </c>
      <c r="K54" s="120">
        <v>0</v>
      </c>
      <c r="L54" s="369">
        <f t="shared" si="21"/>
        <v>23000</v>
      </c>
      <c r="M54" s="120">
        <v>7000</v>
      </c>
      <c r="N54" s="120">
        <v>0</v>
      </c>
      <c r="O54" s="120">
        <v>0</v>
      </c>
      <c r="P54" s="120">
        <v>16000</v>
      </c>
      <c r="Q54" s="120">
        <v>0</v>
      </c>
      <c r="R54" s="120">
        <v>0</v>
      </c>
      <c r="S54" s="120">
        <v>0</v>
      </c>
    </row>
    <row r="55" spans="1:19" ht="22.5" customHeight="1">
      <c r="A55" s="312" t="s">
        <v>758</v>
      </c>
      <c r="B55" s="506" t="s">
        <v>699</v>
      </c>
      <c r="C55" s="469">
        <v>225</v>
      </c>
      <c r="D55" s="369">
        <f t="shared" si="19"/>
        <v>41100</v>
      </c>
      <c r="E55" s="120">
        <v>7500</v>
      </c>
      <c r="F55" s="120">
        <v>0</v>
      </c>
      <c r="G55" s="120">
        <v>0</v>
      </c>
      <c r="H55" s="120">
        <v>33600</v>
      </c>
      <c r="I55" s="120">
        <v>0</v>
      </c>
      <c r="J55" s="120">
        <v>0</v>
      </c>
      <c r="K55" s="120">
        <v>0</v>
      </c>
      <c r="L55" s="369">
        <f t="shared" si="21"/>
        <v>41100</v>
      </c>
      <c r="M55" s="120">
        <v>7500</v>
      </c>
      <c r="N55" s="120">
        <v>0</v>
      </c>
      <c r="O55" s="120">
        <v>0</v>
      </c>
      <c r="P55" s="120">
        <v>33600</v>
      </c>
      <c r="Q55" s="120">
        <v>0</v>
      </c>
      <c r="R55" s="120">
        <v>0</v>
      </c>
      <c r="S55" s="120">
        <v>0</v>
      </c>
    </row>
    <row r="56" spans="1:19" ht="18.75" customHeight="1">
      <c r="A56" s="312" t="s">
        <v>759</v>
      </c>
      <c r="B56" s="524" t="s">
        <v>671</v>
      </c>
      <c r="C56" s="469">
        <v>225</v>
      </c>
      <c r="D56" s="369">
        <f t="shared" si="19"/>
        <v>15000</v>
      </c>
      <c r="E56" s="120">
        <f>'Пр. №4 2019 год '!E55</f>
        <v>0</v>
      </c>
      <c r="F56" s="120">
        <v>0</v>
      </c>
      <c r="G56" s="120">
        <v>0</v>
      </c>
      <c r="H56" s="120">
        <v>15000</v>
      </c>
      <c r="I56" s="120">
        <v>0</v>
      </c>
      <c r="J56" s="120">
        <v>0</v>
      </c>
      <c r="K56" s="120">
        <v>0</v>
      </c>
      <c r="L56" s="369">
        <f t="shared" si="21"/>
        <v>15000</v>
      </c>
      <c r="M56" s="120">
        <f>'Пр. №4 2019 год '!M55</f>
        <v>0</v>
      </c>
      <c r="N56" s="120">
        <v>0</v>
      </c>
      <c r="O56" s="120">
        <v>0</v>
      </c>
      <c r="P56" s="120">
        <v>15000</v>
      </c>
      <c r="Q56" s="120">
        <v>0</v>
      </c>
      <c r="R56" s="120">
        <v>0</v>
      </c>
      <c r="S56" s="120">
        <v>0</v>
      </c>
    </row>
    <row r="57" spans="1:19" ht="18.75" customHeight="1">
      <c r="A57" s="312" t="s">
        <v>760</v>
      </c>
      <c r="B57" s="506" t="s">
        <v>56</v>
      </c>
      <c r="C57" s="469">
        <v>225</v>
      </c>
      <c r="D57" s="369">
        <f t="shared" si="19"/>
        <v>54900</v>
      </c>
      <c r="E57" s="120">
        <v>0</v>
      </c>
      <c r="F57" s="120">
        <v>0</v>
      </c>
      <c r="G57" s="120">
        <v>0</v>
      </c>
      <c r="H57" s="120">
        <v>54900</v>
      </c>
      <c r="I57" s="120">
        <v>0</v>
      </c>
      <c r="J57" s="120">
        <v>0</v>
      </c>
      <c r="K57" s="120">
        <v>0</v>
      </c>
      <c r="L57" s="369">
        <f t="shared" si="21"/>
        <v>54900</v>
      </c>
      <c r="M57" s="120">
        <v>0</v>
      </c>
      <c r="N57" s="120">
        <v>0</v>
      </c>
      <c r="O57" s="120">
        <v>0</v>
      </c>
      <c r="P57" s="120">
        <v>54900</v>
      </c>
      <c r="Q57" s="120">
        <v>0</v>
      </c>
      <c r="R57" s="120">
        <v>0</v>
      </c>
      <c r="S57" s="120">
        <v>0</v>
      </c>
    </row>
    <row r="58" spans="1:19" ht="33.75" customHeight="1">
      <c r="A58" s="312" t="s">
        <v>761</v>
      </c>
      <c r="B58" s="506" t="s">
        <v>68</v>
      </c>
      <c r="C58" s="462">
        <v>225</v>
      </c>
      <c r="D58" s="369">
        <f t="shared" si="19"/>
        <v>13800</v>
      </c>
      <c r="E58" s="120">
        <v>0</v>
      </c>
      <c r="F58" s="120">
        <v>0</v>
      </c>
      <c r="G58" s="120">
        <v>0</v>
      </c>
      <c r="H58" s="120">
        <v>13800</v>
      </c>
      <c r="I58" s="120">
        <v>0</v>
      </c>
      <c r="J58" s="120">
        <v>0</v>
      </c>
      <c r="K58" s="120">
        <v>0</v>
      </c>
      <c r="L58" s="369">
        <f t="shared" si="21"/>
        <v>13800</v>
      </c>
      <c r="M58" s="120">
        <v>0</v>
      </c>
      <c r="N58" s="120">
        <v>0</v>
      </c>
      <c r="O58" s="120">
        <v>0</v>
      </c>
      <c r="P58" s="120">
        <v>13800</v>
      </c>
      <c r="Q58" s="120">
        <v>0</v>
      </c>
      <c r="R58" s="120">
        <v>0</v>
      </c>
      <c r="S58" s="120">
        <v>0</v>
      </c>
    </row>
    <row r="59" spans="1:19" ht="16.5" customHeight="1">
      <c r="A59" s="312" t="s">
        <v>762</v>
      </c>
      <c r="B59" s="506" t="s">
        <v>834</v>
      </c>
      <c r="C59" s="469">
        <v>225</v>
      </c>
      <c r="D59" s="369">
        <f t="shared" si="19"/>
        <v>21600</v>
      </c>
      <c r="E59" s="120">
        <v>0</v>
      </c>
      <c r="F59" s="120">
        <v>0</v>
      </c>
      <c r="G59" s="120">
        <v>0</v>
      </c>
      <c r="H59" s="120">
        <v>21600</v>
      </c>
      <c r="I59" s="120">
        <v>0</v>
      </c>
      <c r="J59" s="120">
        <v>0</v>
      </c>
      <c r="K59" s="120">
        <v>0</v>
      </c>
      <c r="L59" s="369">
        <f t="shared" si="21"/>
        <v>21600</v>
      </c>
      <c r="M59" s="120">
        <v>0</v>
      </c>
      <c r="N59" s="120">
        <v>0</v>
      </c>
      <c r="O59" s="120">
        <v>0</v>
      </c>
      <c r="P59" s="120">
        <v>21600</v>
      </c>
      <c r="Q59" s="120">
        <v>0</v>
      </c>
      <c r="R59" s="120">
        <v>0</v>
      </c>
      <c r="S59" s="120">
        <v>0</v>
      </c>
    </row>
    <row r="60" spans="1:19" ht="30" customHeight="1">
      <c r="A60" s="571" t="s">
        <v>763</v>
      </c>
      <c r="B60" s="579" t="s">
        <v>101</v>
      </c>
      <c r="C60" s="580">
        <v>226</v>
      </c>
      <c r="D60" s="369">
        <f t="shared" si="19"/>
        <v>1956700</v>
      </c>
      <c r="E60" s="309">
        <f>SUM(E61:E72)</f>
        <v>309500</v>
      </c>
      <c r="F60" s="309">
        <f aca="true" t="shared" si="23" ref="F60:K60">SUM(F61:F72)</f>
        <v>161100</v>
      </c>
      <c r="G60" s="309">
        <f t="shared" si="23"/>
        <v>0</v>
      </c>
      <c r="H60" s="309">
        <f t="shared" si="23"/>
        <v>947500</v>
      </c>
      <c r="I60" s="309">
        <f t="shared" si="23"/>
        <v>0</v>
      </c>
      <c r="J60" s="309">
        <f t="shared" si="23"/>
        <v>0</v>
      </c>
      <c r="K60" s="309">
        <f t="shared" si="23"/>
        <v>538600</v>
      </c>
      <c r="L60" s="369">
        <f t="shared" si="21"/>
        <v>1956700</v>
      </c>
      <c r="M60" s="309">
        <f aca="true" t="shared" si="24" ref="M60:S60">SUM(M61:M72)</f>
        <v>309500</v>
      </c>
      <c r="N60" s="309">
        <f t="shared" si="24"/>
        <v>161100</v>
      </c>
      <c r="O60" s="309">
        <f t="shared" si="24"/>
        <v>0</v>
      </c>
      <c r="P60" s="309">
        <f t="shared" si="24"/>
        <v>947500</v>
      </c>
      <c r="Q60" s="309">
        <f t="shared" si="24"/>
        <v>0</v>
      </c>
      <c r="R60" s="309">
        <f t="shared" si="24"/>
        <v>0</v>
      </c>
      <c r="S60" s="309">
        <f t="shared" si="24"/>
        <v>538600</v>
      </c>
    </row>
    <row r="61" spans="1:19" ht="30" customHeight="1">
      <c r="A61" s="312" t="s">
        <v>764</v>
      </c>
      <c r="B61" s="461" t="s">
        <v>709</v>
      </c>
      <c r="C61" s="469">
        <v>226</v>
      </c>
      <c r="D61" s="369">
        <f t="shared" si="19"/>
        <v>1441500</v>
      </c>
      <c r="E61" s="120">
        <v>306500</v>
      </c>
      <c r="F61" s="120">
        <v>0</v>
      </c>
      <c r="G61" s="120">
        <v>0</v>
      </c>
      <c r="H61" s="120">
        <v>596400</v>
      </c>
      <c r="I61" s="120">
        <v>0</v>
      </c>
      <c r="J61" s="120">
        <v>0</v>
      </c>
      <c r="K61" s="120">
        <v>538600</v>
      </c>
      <c r="L61" s="369">
        <f t="shared" si="21"/>
        <v>1441500</v>
      </c>
      <c r="M61" s="120">
        <v>306500</v>
      </c>
      <c r="N61" s="120">
        <v>0</v>
      </c>
      <c r="O61" s="120">
        <v>0</v>
      </c>
      <c r="P61" s="120">
        <v>596400</v>
      </c>
      <c r="Q61" s="120">
        <v>0</v>
      </c>
      <c r="R61" s="120">
        <v>0</v>
      </c>
      <c r="S61" s="120">
        <v>538600</v>
      </c>
    </row>
    <row r="62" spans="1:19" ht="33" customHeight="1">
      <c r="A62" s="312" t="s">
        <v>765</v>
      </c>
      <c r="B62" s="506" t="s">
        <v>60</v>
      </c>
      <c r="C62" s="469">
        <v>226</v>
      </c>
      <c r="D62" s="369">
        <f t="shared" si="19"/>
        <v>19000</v>
      </c>
      <c r="E62" s="120">
        <v>0</v>
      </c>
      <c r="F62" s="120">
        <v>0</v>
      </c>
      <c r="G62" s="120">
        <v>0</v>
      </c>
      <c r="H62" s="120">
        <v>19000</v>
      </c>
      <c r="I62" s="120">
        <v>0</v>
      </c>
      <c r="J62" s="120">
        <v>0</v>
      </c>
      <c r="K62" s="120">
        <v>0</v>
      </c>
      <c r="L62" s="369">
        <f t="shared" si="21"/>
        <v>19000</v>
      </c>
      <c r="M62" s="120">
        <v>0</v>
      </c>
      <c r="N62" s="120">
        <v>0</v>
      </c>
      <c r="O62" s="120">
        <v>0</v>
      </c>
      <c r="P62" s="120">
        <v>19000</v>
      </c>
      <c r="Q62" s="120">
        <v>0</v>
      </c>
      <c r="R62" s="120">
        <v>0</v>
      </c>
      <c r="S62" s="120">
        <v>0</v>
      </c>
    </row>
    <row r="63" spans="1:19" ht="18" customHeight="1">
      <c r="A63" s="312" t="s">
        <v>766</v>
      </c>
      <c r="B63" s="506" t="s">
        <v>611</v>
      </c>
      <c r="C63" s="469">
        <v>226</v>
      </c>
      <c r="D63" s="369">
        <f t="shared" si="19"/>
        <v>30000</v>
      </c>
      <c r="E63" s="120">
        <v>0</v>
      </c>
      <c r="F63" s="120">
        <v>0</v>
      </c>
      <c r="G63" s="120">
        <v>0</v>
      </c>
      <c r="H63" s="120">
        <v>30000</v>
      </c>
      <c r="I63" s="120">
        <v>0</v>
      </c>
      <c r="J63" s="120">
        <v>0</v>
      </c>
      <c r="K63" s="120">
        <v>0</v>
      </c>
      <c r="L63" s="369">
        <f t="shared" si="21"/>
        <v>30000</v>
      </c>
      <c r="M63" s="120">
        <v>0</v>
      </c>
      <c r="N63" s="120">
        <v>0</v>
      </c>
      <c r="O63" s="120">
        <v>0</v>
      </c>
      <c r="P63" s="120">
        <v>30000</v>
      </c>
      <c r="Q63" s="120">
        <v>0</v>
      </c>
      <c r="R63" s="120">
        <v>0</v>
      </c>
      <c r="S63" s="120">
        <v>0</v>
      </c>
    </row>
    <row r="64" spans="1:19" ht="16.5" customHeight="1">
      <c r="A64" s="312" t="s">
        <v>767</v>
      </c>
      <c r="B64" s="506" t="s">
        <v>720</v>
      </c>
      <c r="C64" s="469">
        <v>226</v>
      </c>
      <c r="D64" s="369">
        <f t="shared" si="19"/>
        <v>42000</v>
      </c>
      <c r="E64" s="120">
        <v>0</v>
      </c>
      <c r="F64" s="120">
        <v>0</v>
      </c>
      <c r="G64" s="120">
        <v>0</v>
      </c>
      <c r="H64" s="120">
        <v>42000</v>
      </c>
      <c r="I64" s="120">
        <v>0</v>
      </c>
      <c r="J64" s="120">
        <v>0</v>
      </c>
      <c r="K64" s="120">
        <v>0</v>
      </c>
      <c r="L64" s="369">
        <f t="shared" si="21"/>
        <v>42000</v>
      </c>
      <c r="M64" s="120">
        <v>0</v>
      </c>
      <c r="N64" s="120">
        <v>0</v>
      </c>
      <c r="O64" s="120">
        <v>0</v>
      </c>
      <c r="P64" s="120">
        <v>42000</v>
      </c>
      <c r="Q64" s="120">
        <v>0</v>
      </c>
      <c r="R64" s="120">
        <v>0</v>
      </c>
      <c r="S64" s="120">
        <v>0</v>
      </c>
    </row>
    <row r="65" spans="1:19" ht="24.75" customHeight="1">
      <c r="A65" s="312" t="s">
        <v>768</v>
      </c>
      <c r="B65" s="506" t="s">
        <v>711</v>
      </c>
      <c r="C65" s="469">
        <v>226</v>
      </c>
      <c r="D65" s="369">
        <f t="shared" si="19"/>
        <v>160000</v>
      </c>
      <c r="E65" s="120">
        <v>0</v>
      </c>
      <c r="F65" s="120">
        <v>0</v>
      </c>
      <c r="G65" s="120">
        <v>0</v>
      </c>
      <c r="H65" s="120">
        <v>160000</v>
      </c>
      <c r="I65" s="120">
        <v>0</v>
      </c>
      <c r="J65" s="120">
        <v>0</v>
      </c>
      <c r="K65" s="120">
        <v>0</v>
      </c>
      <c r="L65" s="369">
        <f t="shared" si="21"/>
        <v>160000</v>
      </c>
      <c r="M65" s="120">
        <v>0</v>
      </c>
      <c r="N65" s="120">
        <v>0</v>
      </c>
      <c r="O65" s="120">
        <v>0</v>
      </c>
      <c r="P65" s="120">
        <v>160000</v>
      </c>
      <c r="Q65" s="120">
        <v>0</v>
      </c>
      <c r="R65" s="120">
        <v>0</v>
      </c>
      <c r="S65" s="120">
        <v>0</v>
      </c>
    </row>
    <row r="66" spans="1:19" ht="54" customHeight="1">
      <c r="A66" s="312" t="s">
        <v>769</v>
      </c>
      <c r="B66" s="506" t="s">
        <v>590</v>
      </c>
      <c r="C66" s="469">
        <v>226</v>
      </c>
      <c r="D66" s="369">
        <f t="shared" si="19"/>
        <v>9500</v>
      </c>
      <c r="E66" s="120">
        <v>0</v>
      </c>
      <c r="F66" s="120">
        <v>0</v>
      </c>
      <c r="G66" s="120">
        <v>0</v>
      </c>
      <c r="H66" s="120">
        <v>9500</v>
      </c>
      <c r="I66" s="120">
        <v>0</v>
      </c>
      <c r="J66" s="120">
        <v>0</v>
      </c>
      <c r="K66" s="120">
        <v>0</v>
      </c>
      <c r="L66" s="369">
        <f t="shared" si="21"/>
        <v>9500</v>
      </c>
      <c r="M66" s="120">
        <v>0</v>
      </c>
      <c r="N66" s="120">
        <v>0</v>
      </c>
      <c r="O66" s="120">
        <v>0</v>
      </c>
      <c r="P66" s="120">
        <v>9500</v>
      </c>
      <c r="Q66" s="120">
        <v>0</v>
      </c>
      <c r="R66" s="120">
        <v>0</v>
      </c>
      <c r="S66" s="120">
        <v>0</v>
      </c>
    </row>
    <row r="67" spans="1:19" ht="17.25" customHeight="1">
      <c r="A67" s="312" t="s">
        <v>770</v>
      </c>
      <c r="B67" s="506" t="s">
        <v>62</v>
      </c>
      <c r="C67" s="469">
        <v>226</v>
      </c>
      <c r="D67" s="369">
        <f t="shared" si="19"/>
        <v>4800</v>
      </c>
      <c r="E67" s="120">
        <v>0</v>
      </c>
      <c r="F67" s="120">
        <v>0</v>
      </c>
      <c r="G67" s="120">
        <v>0</v>
      </c>
      <c r="H67" s="120">
        <v>4800</v>
      </c>
      <c r="I67" s="120">
        <v>0</v>
      </c>
      <c r="J67" s="120">
        <v>0</v>
      </c>
      <c r="K67" s="120">
        <v>0</v>
      </c>
      <c r="L67" s="369">
        <f t="shared" si="21"/>
        <v>4800</v>
      </c>
      <c r="M67" s="120">
        <v>0</v>
      </c>
      <c r="N67" s="120">
        <v>0</v>
      </c>
      <c r="O67" s="120">
        <v>0</v>
      </c>
      <c r="P67" s="120">
        <v>4800</v>
      </c>
      <c r="Q67" s="120">
        <v>0</v>
      </c>
      <c r="R67" s="120">
        <v>0</v>
      </c>
      <c r="S67" s="120">
        <v>0</v>
      </c>
    </row>
    <row r="68" spans="1:19" ht="19.5" customHeight="1">
      <c r="A68" s="312" t="s">
        <v>771</v>
      </c>
      <c r="B68" s="506" t="s">
        <v>63</v>
      </c>
      <c r="C68" s="469">
        <v>226</v>
      </c>
      <c r="D68" s="369">
        <f t="shared" si="19"/>
        <v>4500</v>
      </c>
      <c r="E68" s="120">
        <v>0</v>
      </c>
      <c r="F68" s="120">
        <v>0</v>
      </c>
      <c r="G68" s="120">
        <v>0</v>
      </c>
      <c r="H68" s="120">
        <v>4500</v>
      </c>
      <c r="I68" s="120">
        <v>0</v>
      </c>
      <c r="J68" s="120">
        <v>0</v>
      </c>
      <c r="K68" s="120">
        <v>0</v>
      </c>
      <c r="L68" s="369">
        <f t="shared" si="21"/>
        <v>4500</v>
      </c>
      <c r="M68" s="120">
        <v>0</v>
      </c>
      <c r="N68" s="120">
        <v>0</v>
      </c>
      <c r="O68" s="120">
        <v>0</v>
      </c>
      <c r="P68" s="120">
        <v>4500</v>
      </c>
      <c r="Q68" s="120">
        <v>0</v>
      </c>
      <c r="R68" s="120">
        <v>0</v>
      </c>
      <c r="S68" s="120">
        <v>0</v>
      </c>
    </row>
    <row r="69" spans="1:19" ht="16.5" customHeight="1">
      <c r="A69" s="312" t="s">
        <v>772</v>
      </c>
      <c r="B69" s="506" t="s">
        <v>67</v>
      </c>
      <c r="C69" s="462">
        <v>226</v>
      </c>
      <c r="D69" s="369">
        <f t="shared" si="19"/>
        <v>22800</v>
      </c>
      <c r="E69" s="120">
        <v>3000</v>
      </c>
      <c r="F69" s="120">
        <v>0</v>
      </c>
      <c r="G69" s="120">
        <v>0</v>
      </c>
      <c r="H69" s="120">
        <v>19800</v>
      </c>
      <c r="I69" s="120">
        <v>0</v>
      </c>
      <c r="J69" s="120">
        <v>0</v>
      </c>
      <c r="K69" s="120">
        <v>0</v>
      </c>
      <c r="L69" s="369">
        <f t="shared" si="21"/>
        <v>22800</v>
      </c>
      <c r="M69" s="120">
        <v>3000</v>
      </c>
      <c r="N69" s="120">
        <v>0</v>
      </c>
      <c r="O69" s="120">
        <v>0</v>
      </c>
      <c r="P69" s="120">
        <v>19800</v>
      </c>
      <c r="Q69" s="120">
        <v>0</v>
      </c>
      <c r="R69" s="120">
        <v>0</v>
      </c>
      <c r="S69" s="120">
        <v>0</v>
      </c>
    </row>
    <row r="70" spans="1:19" ht="18" customHeight="1">
      <c r="A70" s="312" t="s">
        <v>791</v>
      </c>
      <c r="B70" s="461" t="s">
        <v>608</v>
      </c>
      <c r="C70" s="469">
        <v>226</v>
      </c>
      <c r="D70" s="369">
        <f t="shared" si="19"/>
        <v>23100</v>
      </c>
      <c r="E70" s="120">
        <v>0</v>
      </c>
      <c r="F70" s="120">
        <v>0</v>
      </c>
      <c r="G70" s="120">
        <v>0</v>
      </c>
      <c r="H70" s="120">
        <v>23100</v>
      </c>
      <c r="I70" s="120">
        <v>0</v>
      </c>
      <c r="J70" s="120">
        <v>0</v>
      </c>
      <c r="K70" s="120">
        <v>0</v>
      </c>
      <c r="L70" s="369">
        <f t="shared" si="21"/>
        <v>23100</v>
      </c>
      <c r="M70" s="120">
        <v>0</v>
      </c>
      <c r="N70" s="120">
        <v>0</v>
      </c>
      <c r="O70" s="120">
        <v>0</v>
      </c>
      <c r="P70" s="120">
        <v>23100</v>
      </c>
      <c r="Q70" s="120">
        <v>0</v>
      </c>
      <c r="R70" s="120">
        <v>0</v>
      </c>
      <c r="S70" s="120">
        <v>0</v>
      </c>
    </row>
    <row r="71" spans="1:19" ht="22.5" customHeight="1">
      <c r="A71" s="312" t="s">
        <v>773</v>
      </c>
      <c r="B71" s="505" t="s">
        <v>600</v>
      </c>
      <c r="C71" s="473" t="s">
        <v>113</v>
      </c>
      <c r="D71" s="369">
        <f t="shared" si="19"/>
        <v>161100</v>
      </c>
      <c r="E71" s="120">
        <v>0</v>
      </c>
      <c r="F71" s="120">
        <v>161100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369">
        <f t="shared" si="21"/>
        <v>161100</v>
      </c>
      <c r="M71" s="120">
        <v>0</v>
      </c>
      <c r="N71" s="120">
        <v>161100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</row>
    <row r="72" spans="1:19" ht="20.25" customHeight="1">
      <c r="A72" s="312" t="s">
        <v>774</v>
      </c>
      <c r="B72" s="505" t="s">
        <v>607</v>
      </c>
      <c r="C72" s="473" t="s">
        <v>113</v>
      </c>
      <c r="D72" s="369">
        <f t="shared" si="19"/>
        <v>38400</v>
      </c>
      <c r="E72" s="120">
        <v>0</v>
      </c>
      <c r="F72" s="120">
        <v>0</v>
      </c>
      <c r="G72" s="120">
        <v>0</v>
      </c>
      <c r="H72" s="120">
        <v>38400</v>
      </c>
      <c r="I72" s="120">
        <v>0</v>
      </c>
      <c r="J72" s="120">
        <v>0</v>
      </c>
      <c r="K72" s="120">
        <v>0</v>
      </c>
      <c r="L72" s="369">
        <f t="shared" si="21"/>
        <v>38400</v>
      </c>
      <c r="M72" s="120">
        <v>0</v>
      </c>
      <c r="N72" s="120">
        <v>0</v>
      </c>
      <c r="O72" s="120">
        <v>0</v>
      </c>
      <c r="P72" s="120">
        <v>38400</v>
      </c>
      <c r="Q72" s="120">
        <v>0</v>
      </c>
      <c r="R72" s="120">
        <v>0</v>
      </c>
      <c r="S72" s="120">
        <v>0</v>
      </c>
    </row>
    <row r="73" spans="1:19" ht="28.5" customHeight="1">
      <c r="A73" s="549" t="s">
        <v>775</v>
      </c>
      <c r="B73" s="550" t="s">
        <v>777</v>
      </c>
      <c r="C73" s="551" t="s">
        <v>776</v>
      </c>
      <c r="D73" s="369">
        <f aca="true" t="shared" si="25" ref="D73:D93">E73+F73+G73+H73+I73+J73+K73</f>
        <v>193400</v>
      </c>
      <c r="E73" s="309">
        <f>E74</f>
        <v>0</v>
      </c>
      <c r="F73" s="309">
        <f aca="true" t="shared" si="26" ref="F73:K73">F74</f>
        <v>0</v>
      </c>
      <c r="G73" s="309">
        <f t="shared" si="26"/>
        <v>0</v>
      </c>
      <c r="H73" s="309">
        <f t="shared" si="26"/>
        <v>193400</v>
      </c>
      <c r="I73" s="309">
        <f t="shared" si="26"/>
        <v>0</v>
      </c>
      <c r="J73" s="309">
        <f t="shared" si="26"/>
        <v>0</v>
      </c>
      <c r="K73" s="309">
        <f t="shared" si="26"/>
        <v>0</v>
      </c>
      <c r="L73" s="369">
        <f aca="true" t="shared" si="27" ref="L73:L93">M73+N73+O73+P73+Q73+R73+S73</f>
        <v>193400</v>
      </c>
      <c r="M73" s="309">
        <f aca="true" t="shared" si="28" ref="M73:S73">M74</f>
        <v>0</v>
      </c>
      <c r="N73" s="309">
        <f t="shared" si="28"/>
        <v>0</v>
      </c>
      <c r="O73" s="309">
        <f t="shared" si="28"/>
        <v>0</v>
      </c>
      <c r="P73" s="309">
        <f t="shared" si="28"/>
        <v>193400</v>
      </c>
      <c r="Q73" s="309">
        <f t="shared" si="28"/>
        <v>0</v>
      </c>
      <c r="R73" s="309">
        <f t="shared" si="28"/>
        <v>0</v>
      </c>
      <c r="S73" s="309">
        <f t="shared" si="28"/>
        <v>0</v>
      </c>
    </row>
    <row r="74" spans="1:19" ht="20.25" customHeight="1">
      <c r="A74" s="312" t="s">
        <v>778</v>
      </c>
      <c r="B74" s="505" t="s">
        <v>779</v>
      </c>
      <c r="C74" s="473" t="s">
        <v>776</v>
      </c>
      <c r="D74" s="369">
        <f t="shared" si="25"/>
        <v>193400</v>
      </c>
      <c r="E74" s="120">
        <v>0</v>
      </c>
      <c r="F74" s="120">
        <v>0</v>
      </c>
      <c r="G74" s="120">
        <v>0</v>
      </c>
      <c r="H74" s="120">
        <v>193400</v>
      </c>
      <c r="I74" s="120">
        <v>0</v>
      </c>
      <c r="J74" s="120">
        <v>0</v>
      </c>
      <c r="K74" s="120">
        <v>0</v>
      </c>
      <c r="L74" s="369">
        <f t="shared" si="27"/>
        <v>193400</v>
      </c>
      <c r="M74" s="120">
        <v>0</v>
      </c>
      <c r="N74" s="120">
        <v>0</v>
      </c>
      <c r="O74" s="120">
        <v>0</v>
      </c>
      <c r="P74" s="120">
        <v>193400</v>
      </c>
      <c r="Q74" s="120">
        <v>0</v>
      </c>
      <c r="R74" s="120">
        <v>0</v>
      </c>
      <c r="S74" s="120">
        <v>0</v>
      </c>
    </row>
    <row r="75" spans="1:19" ht="20.25" customHeight="1">
      <c r="A75" s="552" t="s">
        <v>783</v>
      </c>
      <c r="B75" s="550" t="s">
        <v>449</v>
      </c>
      <c r="C75" s="553" t="s">
        <v>599</v>
      </c>
      <c r="D75" s="369">
        <f t="shared" si="25"/>
        <v>732980.95</v>
      </c>
      <c r="E75" s="555">
        <f>E76+E80</f>
        <v>0</v>
      </c>
      <c r="F75" s="555">
        <f aca="true" t="shared" si="29" ref="F75:K75">F76+F80</f>
        <v>86280.95</v>
      </c>
      <c r="G75" s="555">
        <f t="shared" si="29"/>
        <v>0</v>
      </c>
      <c r="H75" s="555">
        <f t="shared" si="29"/>
        <v>594800</v>
      </c>
      <c r="I75" s="555">
        <f t="shared" si="29"/>
        <v>0</v>
      </c>
      <c r="J75" s="555">
        <f t="shared" si="29"/>
        <v>0</v>
      </c>
      <c r="K75" s="555">
        <f t="shared" si="29"/>
        <v>51900</v>
      </c>
      <c r="L75" s="369">
        <f t="shared" si="27"/>
        <v>732980.95</v>
      </c>
      <c r="M75" s="555">
        <f aca="true" t="shared" si="30" ref="M75:S75">M76+M80</f>
        <v>0</v>
      </c>
      <c r="N75" s="555">
        <f t="shared" si="30"/>
        <v>86280.95</v>
      </c>
      <c r="O75" s="555">
        <f t="shared" si="30"/>
        <v>0</v>
      </c>
      <c r="P75" s="555">
        <f t="shared" si="30"/>
        <v>594800</v>
      </c>
      <c r="Q75" s="555">
        <f t="shared" si="30"/>
        <v>0</v>
      </c>
      <c r="R75" s="555">
        <f t="shared" si="30"/>
        <v>0</v>
      </c>
      <c r="S75" s="555">
        <f t="shared" si="30"/>
        <v>51900</v>
      </c>
    </row>
    <row r="76" spans="1:19" ht="17.25" customHeight="1">
      <c r="A76" s="312" t="s">
        <v>784</v>
      </c>
      <c r="B76" s="537" t="s">
        <v>598</v>
      </c>
      <c r="C76" s="481">
        <v>310</v>
      </c>
      <c r="D76" s="369">
        <f t="shared" si="25"/>
        <v>103000</v>
      </c>
      <c r="E76" s="554">
        <f>SUM(E77:E79)</f>
        <v>0</v>
      </c>
      <c r="F76" s="554">
        <f aca="true" t="shared" si="31" ref="F76:K76">SUM(F77:F79)</f>
        <v>6000</v>
      </c>
      <c r="G76" s="554">
        <f t="shared" si="31"/>
        <v>0</v>
      </c>
      <c r="H76" s="554">
        <f t="shared" si="31"/>
        <v>45100</v>
      </c>
      <c r="I76" s="554">
        <f t="shared" si="31"/>
        <v>0</v>
      </c>
      <c r="J76" s="554">
        <f t="shared" si="31"/>
        <v>0</v>
      </c>
      <c r="K76" s="554">
        <f t="shared" si="31"/>
        <v>51900</v>
      </c>
      <c r="L76" s="369">
        <f t="shared" si="27"/>
        <v>103000</v>
      </c>
      <c r="M76" s="554">
        <f aca="true" t="shared" si="32" ref="M76:S76">SUM(M77:M79)</f>
        <v>0</v>
      </c>
      <c r="N76" s="554">
        <f t="shared" si="32"/>
        <v>6000</v>
      </c>
      <c r="O76" s="554">
        <f t="shared" si="32"/>
        <v>0</v>
      </c>
      <c r="P76" s="554">
        <f t="shared" si="32"/>
        <v>45100</v>
      </c>
      <c r="Q76" s="554">
        <f t="shared" si="32"/>
        <v>0</v>
      </c>
      <c r="R76" s="554">
        <f t="shared" si="32"/>
        <v>0</v>
      </c>
      <c r="S76" s="554">
        <f t="shared" si="32"/>
        <v>51900</v>
      </c>
    </row>
    <row r="77" spans="1:19" ht="15.75" customHeight="1">
      <c r="A77" s="312" t="s">
        <v>794</v>
      </c>
      <c r="B77" s="537" t="s">
        <v>612</v>
      </c>
      <c r="C77" s="481" t="s">
        <v>102</v>
      </c>
      <c r="D77" s="369">
        <f t="shared" si="25"/>
        <v>6000</v>
      </c>
      <c r="E77" s="120">
        <v>0</v>
      </c>
      <c r="F77" s="120">
        <v>6000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369">
        <f t="shared" si="27"/>
        <v>6000</v>
      </c>
      <c r="M77" s="120">
        <v>0</v>
      </c>
      <c r="N77" s="120">
        <v>6000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</row>
    <row r="78" spans="1:19" ht="33.75" customHeight="1">
      <c r="A78" s="312" t="s">
        <v>795</v>
      </c>
      <c r="B78" s="537" t="s">
        <v>806</v>
      </c>
      <c r="C78" s="481" t="s">
        <v>102</v>
      </c>
      <c r="D78" s="369">
        <f t="shared" si="25"/>
        <v>60000</v>
      </c>
      <c r="E78" s="120">
        <v>0</v>
      </c>
      <c r="F78" s="120">
        <v>0</v>
      </c>
      <c r="G78" s="120">
        <v>0</v>
      </c>
      <c r="H78" s="120">
        <v>8100</v>
      </c>
      <c r="I78" s="120">
        <v>0</v>
      </c>
      <c r="J78" s="120">
        <v>0</v>
      </c>
      <c r="K78" s="120">
        <v>51900</v>
      </c>
      <c r="L78" s="369">
        <f t="shared" si="27"/>
        <v>60000</v>
      </c>
      <c r="M78" s="120">
        <v>0</v>
      </c>
      <c r="N78" s="120">
        <v>0</v>
      </c>
      <c r="O78" s="120">
        <v>0</v>
      </c>
      <c r="P78" s="120">
        <v>8100</v>
      </c>
      <c r="Q78" s="120">
        <v>0</v>
      </c>
      <c r="R78" s="120">
        <v>0</v>
      </c>
      <c r="S78" s="120">
        <v>51900</v>
      </c>
    </row>
    <row r="79" spans="1:19" ht="33.75" customHeight="1">
      <c r="A79" s="312" t="s">
        <v>796</v>
      </c>
      <c r="B79" s="537" t="s">
        <v>804</v>
      </c>
      <c r="C79" s="481" t="s">
        <v>102</v>
      </c>
      <c r="D79" s="369">
        <f t="shared" si="25"/>
        <v>37000</v>
      </c>
      <c r="E79" s="120">
        <v>0</v>
      </c>
      <c r="F79" s="120">
        <v>0</v>
      </c>
      <c r="G79" s="120">
        <v>0</v>
      </c>
      <c r="H79" s="120">
        <v>37000</v>
      </c>
      <c r="I79" s="120">
        <v>0</v>
      </c>
      <c r="J79" s="120">
        <v>0</v>
      </c>
      <c r="K79" s="120">
        <v>0</v>
      </c>
      <c r="L79" s="369">
        <f t="shared" si="27"/>
        <v>37000</v>
      </c>
      <c r="M79" s="120">
        <v>0</v>
      </c>
      <c r="N79" s="120">
        <v>0</v>
      </c>
      <c r="O79" s="120">
        <v>0</v>
      </c>
      <c r="P79" s="120">
        <v>37000</v>
      </c>
      <c r="Q79" s="120">
        <v>0</v>
      </c>
      <c r="R79" s="120">
        <v>0</v>
      </c>
      <c r="S79" s="120">
        <v>0</v>
      </c>
    </row>
    <row r="80" spans="1:19" ht="27.75" customHeight="1">
      <c r="A80" s="571"/>
      <c r="B80" s="581" t="s">
        <v>594</v>
      </c>
      <c r="C80" s="582"/>
      <c r="D80" s="369">
        <f t="shared" si="25"/>
        <v>629980.95</v>
      </c>
      <c r="E80" s="309">
        <f>SUM(E81:E92)</f>
        <v>0</v>
      </c>
      <c r="F80" s="309">
        <f aca="true" t="shared" si="33" ref="F80:K80">SUM(F81:F92)</f>
        <v>80280.95</v>
      </c>
      <c r="G80" s="309">
        <f t="shared" si="33"/>
        <v>0</v>
      </c>
      <c r="H80" s="309">
        <f t="shared" si="33"/>
        <v>549700</v>
      </c>
      <c r="I80" s="309">
        <f t="shared" si="33"/>
        <v>0</v>
      </c>
      <c r="J80" s="309">
        <f t="shared" si="33"/>
        <v>0</v>
      </c>
      <c r="K80" s="309">
        <f t="shared" si="33"/>
        <v>0</v>
      </c>
      <c r="L80" s="369">
        <f t="shared" si="27"/>
        <v>629980.95</v>
      </c>
      <c r="M80" s="309">
        <f aca="true" t="shared" si="34" ref="M80:S80">SUM(M81:M92)</f>
        <v>0</v>
      </c>
      <c r="N80" s="309">
        <f t="shared" si="34"/>
        <v>80280.95</v>
      </c>
      <c r="O80" s="309">
        <f t="shared" si="34"/>
        <v>0</v>
      </c>
      <c r="P80" s="309">
        <f t="shared" si="34"/>
        <v>549700</v>
      </c>
      <c r="Q80" s="309">
        <f t="shared" si="34"/>
        <v>0</v>
      </c>
      <c r="R80" s="309">
        <f t="shared" si="34"/>
        <v>0</v>
      </c>
      <c r="S80" s="309">
        <f t="shared" si="34"/>
        <v>0</v>
      </c>
    </row>
    <row r="81" spans="1:19" ht="15">
      <c r="A81" s="312" t="s">
        <v>818</v>
      </c>
      <c r="B81" s="505" t="s">
        <v>104</v>
      </c>
      <c r="C81" s="483" t="s">
        <v>663</v>
      </c>
      <c r="D81" s="369">
        <f t="shared" si="25"/>
        <v>10500</v>
      </c>
      <c r="E81" s="120">
        <v>0</v>
      </c>
      <c r="F81" s="120">
        <v>0</v>
      </c>
      <c r="G81" s="120">
        <v>0</v>
      </c>
      <c r="H81" s="120">
        <v>10500</v>
      </c>
      <c r="I81" s="120">
        <v>0</v>
      </c>
      <c r="J81" s="120">
        <v>0</v>
      </c>
      <c r="K81" s="120">
        <v>0</v>
      </c>
      <c r="L81" s="369">
        <f t="shared" si="27"/>
        <v>10500</v>
      </c>
      <c r="M81" s="120">
        <v>0</v>
      </c>
      <c r="N81" s="120">
        <v>0</v>
      </c>
      <c r="O81" s="120">
        <v>0</v>
      </c>
      <c r="P81" s="120">
        <v>10500</v>
      </c>
      <c r="Q81" s="120">
        <v>0</v>
      </c>
      <c r="R81" s="120">
        <v>0</v>
      </c>
      <c r="S81" s="120">
        <v>0</v>
      </c>
    </row>
    <row r="82" spans="1:19" ht="15">
      <c r="A82" s="312" t="s">
        <v>819</v>
      </c>
      <c r="B82" s="505" t="s">
        <v>105</v>
      </c>
      <c r="C82" s="483" t="s">
        <v>663</v>
      </c>
      <c r="D82" s="369">
        <f t="shared" si="25"/>
        <v>71200</v>
      </c>
      <c r="E82" s="120">
        <v>0</v>
      </c>
      <c r="F82" s="120">
        <v>0</v>
      </c>
      <c r="G82" s="120">
        <v>0</v>
      </c>
      <c r="H82" s="120">
        <v>71200</v>
      </c>
      <c r="I82" s="120">
        <v>0</v>
      </c>
      <c r="J82" s="120">
        <v>0</v>
      </c>
      <c r="K82" s="120">
        <v>0</v>
      </c>
      <c r="L82" s="369">
        <f t="shared" si="27"/>
        <v>71200</v>
      </c>
      <c r="M82" s="120">
        <v>0</v>
      </c>
      <c r="N82" s="120">
        <v>0</v>
      </c>
      <c r="O82" s="120">
        <v>0</v>
      </c>
      <c r="P82" s="120">
        <v>71200</v>
      </c>
      <c r="Q82" s="120">
        <v>0</v>
      </c>
      <c r="R82" s="120">
        <v>0</v>
      </c>
      <c r="S82" s="120">
        <v>0</v>
      </c>
    </row>
    <row r="83" spans="1:19" ht="21.75" customHeight="1">
      <c r="A83" s="312" t="s">
        <v>820</v>
      </c>
      <c r="B83" s="505" t="s">
        <v>103</v>
      </c>
      <c r="C83" s="483" t="s">
        <v>662</v>
      </c>
      <c r="D83" s="369">
        <f t="shared" si="25"/>
        <v>16000</v>
      </c>
      <c r="E83" s="120">
        <v>0</v>
      </c>
      <c r="F83" s="120">
        <v>0</v>
      </c>
      <c r="G83" s="120">
        <v>0</v>
      </c>
      <c r="H83" s="120">
        <v>16000</v>
      </c>
      <c r="I83" s="120">
        <v>0</v>
      </c>
      <c r="J83" s="120">
        <v>0</v>
      </c>
      <c r="K83" s="120">
        <v>0</v>
      </c>
      <c r="L83" s="369">
        <f t="shared" si="27"/>
        <v>16000</v>
      </c>
      <c r="M83" s="120">
        <v>0</v>
      </c>
      <c r="N83" s="120">
        <v>0</v>
      </c>
      <c r="O83" s="120">
        <v>0</v>
      </c>
      <c r="P83" s="120">
        <v>16000</v>
      </c>
      <c r="Q83" s="120">
        <v>0</v>
      </c>
      <c r="R83" s="120">
        <v>0</v>
      </c>
      <c r="S83" s="120">
        <v>0</v>
      </c>
    </row>
    <row r="84" spans="1:19" ht="15.75" customHeight="1">
      <c r="A84" s="312" t="s">
        <v>821</v>
      </c>
      <c r="B84" s="505" t="s">
        <v>106</v>
      </c>
      <c r="C84" s="483" t="s">
        <v>662</v>
      </c>
      <c r="D84" s="369">
        <f t="shared" si="25"/>
        <v>17200</v>
      </c>
      <c r="E84" s="120">
        <v>0</v>
      </c>
      <c r="F84" s="120">
        <v>0</v>
      </c>
      <c r="G84" s="120">
        <v>0</v>
      </c>
      <c r="H84" s="120">
        <v>17200</v>
      </c>
      <c r="I84" s="120">
        <v>0</v>
      </c>
      <c r="J84" s="120">
        <v>0</v>
      </c>
      <c r="K84" s="120">
        <v>0</v>
      </c>
      <c r="L84" s="369">
        <f t="shared" si="27"/>
        <v>17200</v>
      </c>
      <c r="M84" s="120">
        <v>0</v>
      </c>
      <c r="N84" s="120">
        <v>0</v>
      </c>
      <c r="O84" s="120">
        <v>0</v>
      </c>
      <c r="P84" s="120">
        <v>17200</v>
      </c>
      <c r="Q84" s="120">
        <v>0</v>
      </c>
      <c r="R84" s="120">
        <v>0</v>
      </c>
      <c r="S84" s="120">
        <v>0</v>
      </c>
    </row>
    <row r="85" spans="1:19" ht="21" customHeight="1">
      <c r="A85" s="312" t="s">
        <v>822</v>
      </c>
      <c r="B85" s="505" t="s">
        <v>107</v>
      </c>
      <c r="C85" s="483" t="s">
        <v>662</v>
      </c>
      <c r="D85" s="369">
        <f t="shared" si="25"/>
        <v>156800</v>
      </c>
      <c r="E85" s="120">
        <v>0</v>
      </c>
      <c r="F85" s="120">
        <v>0</v>
      </c>
      <c r="G85" s="120">
        <v>0</v>
      </c>
      <c r="H85" s="120">
        <v>156800</v>
      </c>
      <c r="I85" s="120">
        <v>0</v>
      </c>
      <c r="J85" s="120">
        <v>0</v>
      </c>
      <c r="K85" s="120">
        <v>0</v>
      </c>
      <c r="L85" s="369">
        <f t="shared" si="27"/>
        <v>156800</v>
      </c>
      <c r="M85" s="120">
        <v>0</v>
      </c>
      <c r="N85" s="120">
        <v>0</v>
      </c>
      <c r="O85" s="120">
        <v>0</v>
      </c>
      <c r="P85" s="120">
        <v>156800</v>
      </c>
      <c r="Q85" s="120">
        <v>0</v>
      </c>
      <c r="R85" s="120">
        <v>0</v>
      </c>
      <c r="S85" s="120">
        <v>0</v>
      </c>
    </row>
    <row r="86" spans="1:19" ht="27" customHeight="1">
      <c r="A86" s="312" t="s">
        <v>823</v>
      </c>
      <c r="B86" s="505" t="s">
        <v>830</v>
      </c>
      <c r="C86" s="483" t="s">
        <v>662</v>
      </c>
      <c r="D86" s="369">
        <f t="shared" si="25"/>
        <v>170000</v>
      </c>
      <c r="E86" s="120">
        <v>0</v>
      </c>
      <c r="F86" s="120">
        <v>0</v>
      </c>
      <c r="G86" s="120">
        <v>0</v>
      </c>
      <c r="H86" s="120">
        <v>170000</v>
      </c>
      <c r="I86" s="120">
        <v>0</v>
      </c>
      <c r="J86" s="120">
        <v>0</v>
      </c>
      <c r="K86" s="120">
        <v>0</v>
      </c>
      <c r="L86" s="369">
        <f t="shared" si="27"/>
        <v>170000</v>
      </c>
      <c r="M86" s="120">
        <v>0</v>
      </c>
      <c r="N86" s="120">
        <v>0</v>
      </c>
      <c r="O86" s="120">
        <v>0</v>
      </c>
      <c r="P86" s="120">
        <v>170000</v>
      </c>
      <c r="Q86" s="120">
        <v>0</v>
      </c>
      <c r="R86" s="120">
        <v>0</v>
      </c>
      <c r="S86" s="120">
        <v>0</v>
      </c>
    </row>
    <row r="87" spans="1:19" ht="24" customHeight="1">
      <c r="A87" s="312" t="s">
        <v>824</v>
      </c>
      <c r="B87" s="505" t="s">
        <v>108</v>
      </c>
      <c r="C87" s="483" t="s">
        <v>662</v>
      </c>
      <c r="D87" s="369">
        <f t="shared" si="25"/>
        <v>11000</v>
      </c>
      <c r="E87" s="120">
        <v>0</v>
      </c>
      <c r="F87" s="120">
        <v>0</v>
      </c>
      <c r="G87" s="120">
        <v>0</v>
      </c>
      <c r="H87" s="120">
        <v>11000</v>
      </c>
      <c r="I87" s="120">
        <v>0</v>
      </c>
      <c r="J87" s="120">
        <v>0</v>
      </c>
      <c r="K87" s="120">
        <v>0</v>
      </c>
      <c r="L87" s="369">
        <f t="shared" si="27"/>
        <v>11000</v>
      </c>
      <c r="M87" s="120">
        <v>0</v>
      </c>
      <c r="N87" s="120">
        <v>0</v>
      </c>
      <c r="O87" s="120">
        <v>0</v>
      </c>
      <c r="P87" s="120">
        <v>11000</v>
      </c>
      <c r="Q87" s="120">
        <v>0</v>
      </c>
      <c r="R87" s="120">
        <v>0</v>
      </c>
      <c r="S87" s="120">
        <v>0</v>
      </c>
    </row>
    <row r="88" spans="1:19" ht="29.25" customHeight="1">
      <c r="A88" s="312" t="s">
        <v>825</v>
      </c>
      <c r="B88" s="505" t="s">
        <v>109</v>
      </c>
      <c r="C88" s="483" t="s">
        <v>662</v>
      </c>
      <c r="D88" s="369">
        <f t="shared" si="25"/>
        <v>29000</v>
      </c>
      <c r="E88" s="120">
        <v>0</v>
      </c>
      <c r="F88" s="120">
        <v>0</v>
      </c>
      <c r="G88" s="120">
        <v>0</v>
      </c>
      <c r="H88" s="120">
        <v>29000</v>
      </c>
      <c r="I88" s="120">
        <v>0</v>
      </c>
      <c r="J88" s="120">
        <v>0</v>
      </c>
      <c r="K88" s="120">
        <v>0</v>
      </c>
      <c r="L88" s="369">
        <f t="shared" si="27"/>
        <v>29000</v>
      </c>
      <c r="M88" s="120">
        <v>0</v>
      </c>
      <c r="N88" s="120">
        <v>0</v>
      </c>
      <c r="O88" s="120">
        <v>0</v>
      </c>
      <c r="P88" s="120">
        <v>29000</v>
      </c>
      <c r="Q88" s="120">
        <v>0</v>
      </c>
      <c r="R88" s="120">
        <v>0</v>
      </c>
      <c r="S88" s="120">
        <v>0</v>
      </c>
    </row>
    <row r="89" spans="1:19" ht="15.75" customHeight="1">
      <c r="A89" s="312" t="s">
        <v>826</v>
      </c>
      <c r="B89" s="505" t="s">
        <v>595</v>
      </c>
      <c r="C89" s="483" t="s">
        <v>662</v>
      </c>
      <c r="D89" s="369">
        <f t="shared" si="25"/>
        <v>12320.09</v>
      </c>
      <c r="E89" s="120">
        <v>0</v>
      </c>
      <c r="F89" s="120">
        <v>12320.09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369">
        <f t="shared" si="27"/>
        <v>12320.09</v>
      </c>
      <c r="M89" s="120">
        <v>0</v>
      </c>
      <c r="N89" s="120">
        <v>12320.09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</row>
    <row r="90" spans="1:19" ht="15.75" customHeight="1">
      <c r="A90" s="312" t="s">
        <v>827</v>
      </c>
      <c r="B90" s="505" t="s">
        <v>596</v>
      </c>
      <c r="C90" s="483" t="s">
        <v>662</v>
      </c>
      <c r="D90" s="369">
        <f t="shared" si="25"/>
        <v>63910.86</v>
      </c>
      <c r="E90" s="120">
        <v>0</v>
      </c>
      <c r="F90" s="120">
        <v>63910.86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369">
        <f t="shared" si="27"/>
        <v>63910.86</v>
      </c>
      <c r="M90" s="120">
        <v>0</v>
      </c>
      <c r="N90" s="120">
        <v>63910.86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</row>
    <row r="91" spans="1:19" ht="26.25" customHeight="1">
      <c r="A91" s="312" t="s">
        <v>828</v>
      </c>
      <c r="B91" s="506" t="s">
        <v>792</v>
      </c>
      <c r="C91" s="469">
        <v>349</v>
      </c>
      <c r="D91" s="369">
        <f t="shared" si="25"/>
        <v>64000</v>
      </c>
      <c r="E91" s="120">
        <v>0</v>
      </c>
      <c r="F91" s="120">
        <v>0</v>
      </c>
      <c r="G91" s="120">
        <v>0</v>
      </c>
      <c r="H91" s="120">
        <v>64000</v>
      </c>
      <c r="I91" s="120">
        <v>0</v>
      </c>
      <c r="J91" s="120">
        <v>0</v>
      </c>
      <c r="K91" s="120">
        <v>0</v>
      </c>
      <c r="L91" s="369">
        <f t="shared" si="27"/>
        <v>64000</v>
      </c>
      <c r="M91" s="120">
        <v>0</v>
      </c>
      <c r="N91" s="120">
        <v>0</v>
      </c>
      <c r="O91" s="120">
        <v>0</v>
      </c>
      <c r="P91" s="120">
        <v>64000</v>
      </c>
      <c r="Q91" s="120">
        <v>0</v>
      </c>
      <c r="R91" s="120">
        <v>0</v>
      </c>
      <c r="S91" s="120">
        <v>0</v>
      </c>
    </row>
    <row r="92" spans="1:20" ht="37.5" customHeight="1">
      <c r="A92" s="312" t="s">
        <v>829</v>
      </c>
      <c r="B92" s="505" t="s">
        <v>793</v>
      </c>
      <c r="C92" s="483" t="s">
        <v>664</v>
      </c>
      <c r="D92" s="369">
        <f t="shared" si="25"/>
        <v>8050</v>
      </c>
      <c r="E92" s="120">
        <v>0</v>
      </c>
      <c r="F92" s="120">
        <v>4050</v>
      </c>
      <c r="G92" s="120">
        <v>0</v>
      </c>
      <c r="H92" s="120">
        <v>4000</v>
      </c>
      <c r="I92" s="120">
        <v>0</v>
      </c>
      <c r="J92" s="120">
        <v>0</v>
      </c>
      <c r="K92" s="120">
        <v>0</v>
      </c>
      <c r="L92" s="369">
        <f t="shared" si="27"/>
        <v>8050</v>
      </c>
      <c r="M92" s="120">
        <v>0</v>
      </c>
      <c r="N92" s="120">
        <v>4050</v>
      </c>
      <c r="O92" s="120">
        <v>0</v>
      </c>
      <c r="P92" s="120">
        <v>4000</v>
      </c>
      <c r="Q92" s="120">
        <v>0</v>
      </c>
      <c r="R92" s="120">
        <v>0</v>
      </c>
      <c r="S92" s="120">
        <v>0</v>
      </c>
      <c r="T92" s="368"/>
    </row>
    <row r="93" spans="1:19" ht="23.25" customHeight="1">
      <c r="A93" s="571"/>
      <c r="B93" s="583" t="s">
        <v>187</v>
      </c>
      <c r="C93" s="584"/>
      <c r="D93" s="369">
        <f t="shared" si="25"/>
        <v>29095610.95</v>
      </c>
      <c r="E93" s="309">
        <f>E29+E22+E21+E17+E12+E9</f>
        <v>16398500</v>
      </c>
      <c r="F93" s="309">
        <f aca="true" t="shared" si="35" ref="F93:K93">F29+F22+F21+F17+F12+F9</f>
        <v>255860.95</v>
      </c>
      <c r="G93" s="309">
        <f t="shared" si="35"/>
        <v>0</v>
      </c>
      <c r="H93" s="309">
        <f t="shared" si="35"/>
        <v>11621250</v>
      </c>
      <c r="I93" s="309">
        <f t="shared" si="35"/>
        <v>0</v>
      </c>
      <c r="J93" s="309">
        <f t="shared" si="35"/>
        <v>0</v>
      </c>
      <c r="K93" s="309">
        <f t="shared" si="35"/>
        <v>820000</v>
      </c>
      <c r="L93" s="369">
        <f t="shared" si="27"/>
        <v>29136310.95</v>
      </c>
      <c r="M93" s="309">
        <f>M29+M22+M21+M17+M12+M9</f>
        <v>16439200</v>
      </c>
      <c r="N93" s="309">
        <f aca="true" t="shared" si="36" ref="N93:S93">N29+N22+N21+N17+N12+N9</f>
        <v>255860.95</v>
      </c>
      <c r="O93" s="309">
        <f t="shared" si="36"/>
        <v>0</v>
      </c>
      <c r="P93" s="309">
        <f t="shared" si="36"/>
        <v>11621250</v>
      </c>
      <c r="Q93" s="309">
        <f t="shared" si="36"/>
        <v>0</v>
      </c>
      <c r="R93" s="309">
        <f t="shared" si="36"/>
        <v>0</v>
      </c>
      <c r="S93" s="309">
        <f t="shared" si="36"/>
        <v>820000</v>
      </c>
    </row>
    <row r="94" spans="2:19" ht="15" customHeight="1">
      <c r="B94" s="6"/>
      <c r="C94" s="6"/>
      <c r="D94" s="322"/>
      <c r="E94" s="322"/>
      <c r="F94" s="322"/>
      <c r="G94" s="322"/>
      <c r="H94" s="322"/>
      <c r="I94" s="322"/>
      <c r="J94" s="322"/>
      <c r="K94" s="322"/>
      <c r="L94" s="322"/>
      <c r="M94" s="6"/>
      <c r="N94" s="6"/>
      <c r="O94" s="6"/>
      <c r="P94" s="322"/>
      <c r="Q94" s="6"/>
      <c r="R94" s="6"/>
      <c r="S94" s="6"/>
    </row>
    <row r="95" spans="1:19" s="54" customFormat="1" ht="18.75" customHeight="1">
      <c r="A95" s="557"/>
      <c r="B95" s="6"/>
      <c r="C95" s="6"/>
      <c r="D95" s="6"/>
      <c r="E95" s="6"/>
      <c r="F95" s="32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54" customFormat="1" ht="12" customHeight="1">
      <c r="A96" s="55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1" s="54" customFormat="1" ht="15.75" customHeight="1">
      <c r="B97" s="6" t="s">
        <v>468</v>
      </c>
      <c r="C97" s="585"/>
      <c r="D97" s="585"/>
      <c r="E97" s="585"/>
      <c r="F97" s="6"/>
      <c r="G97" s="835" t="s">
        <v>597</v>
      </c>
      <c r="H97" s="835"/>
      <c r="I97" s="835"/>
      <c r="J97" s="835"/>
      <c r="K97" s="6"/>
    </row>
    <row r="98" spans="2:11" s="54" customFormat="1" ht="15.75" customHeight="1">
      <c r="B98" s="6"/>
      <c r="C98" s="829" t="s">
        <v>110</v>
      </c>
      <c r="D98" s="829"/>
      <c r="E98" s="829"/>
      <c r="F98" s="6"/>
      <c r="G98" s="829" t="s">
        <v>111</v>
      </c>
      <c r="H98" s="829"/>
      <c r="I98" s="829"/>
      <c r="J98" s="829"/>
      <c r="K98" s="6"/>
    </row>
    <row r="99" s="54" customFormat="1" ht="10.5" customHeight="1"/>
    <row r="100" spans="2:10" s="54" customFormat="1" ht="15.75" customHeight="1">
      <c r="B100" s="54" t="s">
        <v>660</v>
      </c>
      <c r="C100" s="206"/>
      <c r="D100" s="206"/>
      <c r="E100" s="206"/>
      <c r="G100" s="757" t="s">
        <v>832</v>
      </c>
      <c r="H100" s="757"/>
      <c r="I100" s="757"/>
      <c r="J100" s="757"/>
    </row>
    <row r="101" spans="3:10" s="54" customFormat="1" ht="15.75" customHeight="1">
      <c r="C101" s="834" t="s">
        <v>110</v>
      </c>
      <c r="D101" s="834"/>
      <c r="E101" s="834"/>
      <c r="F101" s="586"/>
      <c r="G101" s="834" t="s">
        <v>111</v>
      </c>
      <c r="H101" s="834"/>
      <c r="I101" s="834"/>
      <c r="J101" s="834"/>
    </row>
    <row r="102" spans="1:11" ht="12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" customHeight="1">
      <c r="A103" s="54"/>
      <c r="B103" s="54" t="s">
        <v>112</v>
      </c>
      <c r="C103" s="54"/>
      <c r="D103" s="54"/>
      <c r="E103" s="54"/>
      <c r="F103" s="54"/>
      <c r="G103" s="54"/>
      <c r="H103" s="54"/>
      <c r="I103" s="54"/>
      <c r="J103" s="54"/>
      <c r="K103" s="54"/>
    </row>
    <row r="108" ht="12" customHeight="1">
      <c r="D108" s="587"/>
    </row>
  </sheetData>
  <sheetProtection selectLockedCells="1" selectUnlockedCells="1"/>
  <mergeCells count="38">
    <mergeCell ref="E5:E8"/>
    <mergeCell ref="G100:J100"/>
    <mergeCell ref="C101:E101"/>
    <mergeCell ref="G101:J101"/>
    <mergeCell ref="H6:H8"/>
    <mergeCell ref="I6:I8"/>
    <mergeCell ref="G97:J97"/>
    <mergeCell ref="C98:E98"/>
    <mergeCell ref="F5:F8"/>
    <mergeCell ref="G5:G8"/>
    <mergeCell ref="G98:J98"/>
    <mergeCell ref="M1:P1"/>
    <mergeCell ref="Q1:S1"/>
    <mergeCell ref="A2:K2"/>
    <mergeCell ref="E3:H3"/>
    <mergeCell ref="I3:K3"/>
    <mergeCell ref="E1:H1"/>
    <mergeCell ref="I1:K1"/>
    <mergeCell ref="A4:A8"/>
    <mergeCell ref="B4:B8"/>
    <mergeCell ref="M3:P3"/>
    <mergeCell ref="Q3:S3"/>
    <mergeCell ref="L4:L8"/>
    <mergeCell ref="M4:S4"/>
    <mergeCell ref="M5:M8"/>
    <mergeCell ref="C4:C8"/>
    <mergeCell ref="D4:D8"/>
    <mergeCell ref="E4:K4"/>
    <mergeCell ref="P5:S5"/>
    <mergeCell ref="H5:K5"/>
    <mergeCell ref="J6:J8"/>
    <mergeCell ref="P6:P8"/>
    <mergeCell ref="Q6:Q8"/>
    <mergeCell ref="R6:R8"/>
    <mergeCell ref="S6:S8"/>
    <mergeCell ref="N5:N8"/>
    <mergeCell ref="O5:O8"/>
    <mergeCell ref="K6:K8"/>
  </mergeCells>
  <printOptions/>
  <pageMargins left="0.3" right="0.4597222222222222" top="0.5097222222222222" bottom="0.3298611111111111" header="0.5118055555555555" footer="0.5118055555555555"/>
  <pageSetup fitToHeight="6" fitToWidth="1" horizontalDpi="300" verticalDpi="300" orientation="landscape" paperSize="9" scale="4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20"/>
  <sheetViews>
    <sheetView zoomScale="75" zoomScaleNormal="75" zoomScaleSheetLayoutView="100" zoomScalePageLayoutView="0" workbookViewId="0" topLeftCell="A83">
      <selection activeCell="J15" sqref="J15:J58"/>
    </sheetView>
  </sheetViews>
  <sheetFormatPr defaultColWidth="9.140625" defaultRowHeight="15" customHeight="1"/>
  <cols>
    <col min="1" max="1" width="4.00390625" style="0" customWidth="1"/>
    <col min="2" max="2" width="28.8515625" style="0" customWidth="1"/>
    <col min="3" max="3" width="13.57421875" style="0" customWidth="1"/>
    <col min="4" max="4" width="16.7109375" style="0" customWidth="1"/>
    <col min="5" max="5" width="15.7109375" style="0" customWidth="1"/>
    <col min="6" max="6" width="16.8515625" style="0" customWidth="1"/>
    <col min="7" max="7" width="15.140625" style="0" customWidth="1"/>
    <col min="8" max="8" width="12.00390625" style="0" customWidth="1"/>
    <col min="9" max="9" width="13.421875" style="62" customWidth="1"/>
    <col min="10" max="10" width="18.421875" style="0" customWidth="1"/>
    <col min="11" max="11" width="14.421875" style="121" bestFit="1" customWidth="1"/>
    <col min="12" max="12" width="18.7109375" style="0" customWidth="1"/>
    <col min="13" max="13" width="11.7109375" style="0" customWidth="1"/>
  </cols>
  <sheetData>
    <row r="1" spans="1:11" ht="60.75" customHeight="1">
      <c r="A1" s="166"/>
      <c r="B1" s="166"/>
      <c r="C1" s="166"/>
      <c r="D1" s="166"/>
      <c r="E1" s="166"/>
      <c r="F1" s="166"/>
      <c r="G1" s="166"/>
      <c r="H1" s="843" t="s">
        <v>245</v>
      </c>
      <c r="I1" s="843"/>
      <c r="J1" s="843"/>
      <c r="K1" s="843"/>
    </row>
    <row r="2" spans="1:10" ht="15" customHeight="1">
      <c r="A2" s="1"/>
      <c r="B2" s="1"/>
      <c r="C2" s="1"/>
      <c r="D2" s="1"/>
      <c r="E2" s="1"/>
      <c r="F2" s="56" t="s">
        <v>488</v>
      </c>
      <c r="G2" s="1"/>
      <c r="H2" s="1"/>
      <c r="I2" s="116"/>
      <c r="J2" s="1"/>
    </row>
    <row r="3" spans="1:10" ht="15" customHeight="1">
      <c r="A3" s="845" t="s">
        <v>489</v>
      </c>
      <c r="B3" s="845"/>
      <c r="C3" s="845"/>
      <c r="D3" s="845"/>
      <c r="E3" s="845"/>
      <c r="F3" s="845"/>
      <c r="G3" s="845"/>
      <c r="H3" s="845"/>
      <c r="I3" s="845"/>
      <c r="J3" s="845"/>
    </row>
    <row r="4" spans="1:10" ht="15" customHeight="1">
      <c r="A4" s="845" t="s">
        <v>490</v>
      </c>
      <c r="B4" s="845"/>
      <c r="C4" s="845"/>
      <c r="D4" s="845"/>
      <c r="E4" s="845"/>
      <c r="F4" s="845"/>
      <c r="G4" s="845"/>
      <c r="H4" s="845"/>
      <c r="I4" s="845"/>
      <c r="J4" s="845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116"/>
      <c r="J5" s="1"/>
    </row>
    <row r="6" spans="1:10" ht="15" customHeight="1">
      <c r="A6" s="1" t="s">
        <v>491</v>
      </c>
      <c r="B6" s="1"/>
      <c r="C6" s="57"/>
      <c r="D6" s="57"/>
      <c r="E6" s="58" t="s">
        <v>492</v>
      </c>
      <c r="F6" s="58"/>
      <c r="G6" s="58"/>
      <c r="H6" s="58"/>
      <c r="I6" s="158"/>
      <c r="J6" s="1"/>
    </row>
    <row r="7" spans="1:10" ht="37.5" customHeight="1">
      <c r="A7" s="1" t="s">
        <v>493</v>
      </c>
      <c r="B7" s="1"/>
      <c r="C7" s="1"/>
      <c r="D7" s="57"/>
      <c r="E7" s="846" t="s">
        <v>494</v>
      </c>
      <c r="F7" s="846"/>
      <c r="G7" s="846"/>
      <c r="H7" s="846"/>
      <c r="I7" s="846"/>
      <c r="J7" s="846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116"/>
      <c r="J8" s="1"/>
    </row>
    <row r="9" spans="1:10" ht="15" customHeight="1">
      <c r="A9" s="845" t="s">
        <v>495</v>
      </c>
      <c r="B9" s="845"/>
      <c r="C9" s="845"/>
      <c r="D9" s="845"/>
      <c r="E9" s="845"/>
      <c r="F9" s="845"/>
      <c r="G9" s="845"/>
      <c r="H9" s="845"/>
      <c r="I9" s="845"/>
      <c r="J9" s="845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16"/>
      <c r="J10" s="1"/>
    </row>
    <row r="11" spans="1:11" s="155" customFormat="1" ht="15" customHeight="1">
      <c r="A11" s="842" t="s">
        <v>496</v>
      </c>
      <c r="B11" s="842" t="s">
        <v>497</v>
      </c>
      <c r="C11" s="842" t="s">
        <v>498</v>
      </c>
      <c r="D11" s="842" t="s">
        <v>499</v>
      </c>
      <c r="E11" s="842"/>
      <c r="F11" s="842"/>
      <c r="G11" s="842"/>
      <c r="H11" s="842" t="s">
        <v>500</v>
      </c>
      <c r="I11" s="842" t="s">
        <v>501</v>
      </c>
      <c r="J11" s="842" t="s">
        <v>502</v>
      </c>
      <c r="K11" s="844" t="s">
        <v>230</v>
      </c>
    </row>
    <row r="12" spans="1:11" s="155" customFormat="1" ht="15" customHeight="1">
      <c r="A12" s="842"/>
      <c r="B12" s="842"/>
      <c r="C12" s="842"/>
      <c r="D12" s="842" t="s">
        <v>503</v>
      </c>
      <c r="E12" s="842" t="s">
        <v>343</v>
      </c>
      <c r="F12" s="842"/>
      <c r="G12" s="842"/>
      <c r="H12" s="842"/>
      <c r="I12" s="842"/>
      <c r="J12" s="842"/>
      <c r="K12" s="844"/>
    </row>
    <row r="13" spans="1:11" s="155" customFormat="1" ht="45" customHeight="1">
      <c r="A13" s="842"/>
      <c r="B13" s="842"/>
      <c r="C13" s="842"/>
      <c r="D13" s="842"/>
      <c r="E13" s="304" t="s">
        <v>504</v>
      </c>
      <c r="F13" s="304" t="s">
        <v>505</v>
      </c>
      <c r="G13" s="304" t="s">
        <v>506</v>
      </c>
      <c r="H13" s="842"/>
      <c r="I13" s="842"/>
      <c r="J13" s="842"/>
      <c r="K13" s="844"/>
    </row>
    <row r="14" spans="1:11" s="155" customFormat="1" ht="15" customHeight="1">
      <c r="A14" s="157">
        <v>1</v>
      </c>
      <c r="B14" s="157">
        <v>2</v>
      </c>
      <c r="C14" s="157">
        <v>3</v>
      </c>
      <c r="D14" s="157">
        <v>4</v>
      </c>
      <c r="E14" s="157">
        <v>5</v>
      </c>
      <c r="F14" s="157">
        <v>6</v>
      </c>
      <c r="G14" s="157">
        <v>7</v>
      </c>
      <c r="H14" s="157">
        <v>8</v>
      </c>
      <c r="I14" s="157">
        <v>9</v>
      </c>
      <c r="J14" s="157">
        <v>10</v>
      </c>
      <c r="K14" s="157">
        <v>11</v>
      </c>
    </row>
    <row r="15" spans="1:11" s="155" customFormat="1" ht="15" customHeight="1">
      <c r="A15" s="160">
        <v>1</v>
      </c>
      <c r="B15" s="160" t="s">
        <v>507</v>
      </c>
      <c r="C15" s="161">
        <v>1</v>
      </c>
      <c r="D15" s="157">
        <f aca="true" t="shared" si="0" ref="D15:D57">E15+F15+G15</f>
        <v>7345</v>
      </c>
      <c r="E15" s="161">
        <v>7345</v>
      </c>
      <c r="F15" s="157">
        <v>0</v>
      </c>
      <c r="G15" s="157">
        <v>0</v>
      </c>
      <c r="H15" s="157">
        <v>25</v>
      </c>
      <c r="I15" s="163">
        <v>0</v>
      </c>
      <c r="J15" s="164">
        <f>D15*1.25*12+I15*12</f>
        <v>110175</v>
      </c>
      <c r="K15" s="156"/>
    </row>
    <row r="16" spans="1:11" s="155" customFormat="1" ht="15" customHeight="1">
      <c r="A16" s="160">
        <v>2</v>
      </c>
      <c r="B16" s="160" t="s">
        <v>508</v>
      </c>
      <c r="C16" s="161">
        <v>1</v>
      </c>
      <c r="D16" s="157">
        <f t="shared" si="0"/>
        <v>5876</v>
      </c>
      <c r="E16" s="161">
        <v>5876</v>
      </c>
      <c r="F16" s="157">
        <v>0</v>
      </c>
      <c r="G16" s="157">
        <v>0</v>
      </c>
      <c r="H16" s="157">
        <v>25</v>
      </c>
      <c r="I16" s="163">
        <v>0</v>
      </c>
      <c r="J16" s="164">
        <f aca="true" t="shared" si="1" ref="J16:J57">D16*1.25*12+I16*12</f>
        <v>88140</v>
      </c>
      <c r="K16" s="156"/>
    </row>
    <row r="17" spans="1:11" s="155" customFormat="1" ht="25.5">
      <c r="A17" s="160">
        <v>3</v>
      </c>
      <c r="B17" s="165" t="s">
        <v>866</v>
      </c>
      <c r="C17" s="161">
        <v>1</v>
      </c>
      <c r="D17" s="157">
        <f t="shared" si="0"/>
        <v>5824</v>
      </c>
      <c r="E17" s="161">
        <v>5824</v>
      </c>
      <c r="F17" s="157">
        <v>0</v>
      </c>
      <c r="G17" s="157">
        <v>0</v>
      </c>
      <c r="H17" s="157">
        <v>25</v>
      </c>
      <c r="I17" s="163">
        <v>0</v>
      </c>
      <c r="J17" s="164">
        <f t="shared" si="1"/>
        <v>87360</v>
      </c>
      <c r="K17" s="156"/>
    </row>
    <row r="18" spans="1:11" s="155" customFormat="1" ht="23.25" customHeight="1">
      <c r="A18" s="160">
        <v>4</v>
      </c>
      <c r="B18" s="160" t="s">
        <v>509</v>
      </c>
      <c r="C18" s="161">
        <v>1</v>
      </c>
      <c r="D18" s="157">
        <f t="shared" si="0"/>
        <v>5824</v>
      </c>
      <c r="E18" s="161">
        <v>5824</v>
      </c>
      <c r="F18" s="157">
        <v>0</v>
      </c>
      <c r="G18" s="157">
        <v>0</v>
      </c>
      <c r="H18" s="157">
        <v>25</v>
      </c>
      <c r="I18" s="163">
        <v>0</v>
      </c>
      <c r="J18" s="164">
        <f t="shared" si="1"/>
        <v>87360</v>
      </c>
      <c r="K18" s="156"/>
    </row>
    <row r="19" spans="1:11" s="155" customFormat="1" ht="23.25" customHeight="1">
      <c r="A19" s="160">
        <v>5</v>
      </c>
      <c r="B19" s="165" t="s">
        <v>867</v>
      </c>
      <c r="C19" s="161">
        <v>1</v>
      </c>
      <c r="D19" s="157">
        <f t="shared" si="0"/>
        <v>5824</v>
      </c>
      <c r="E19" s="161">
        <v>5824</v>
      </c>
      <c r="F19" s="157">
        <v>0</v>
      </c>
      <c r="G19" s="157">
        <v>0</v>
      </c>
      <c r="H19" s="157">
        <v>25</v>
      </c>
      <c r="I19" s="163">
        <v>0</v>
      </c>
      <c r="J19" s="164">
        <f t="shared" si="1"/>
        <v>87360</v>
      </c>
      <c r="K19" s="156"/>
    </row>
    <row r="20" spans="1:11" s="155" customFormat="1" ht="25.5">
      <c r="A20" s="160">
        <v>6</v>
      </c>
      <c r="B20" s="165" t="s">
        <v>510</v>
      </c>
      <c r="C20" s="161">
        <v>1</v>
      </c>
      <c r="D20" s="157">
        <f t="shared" si="0"/>
        <v>5824</v>
      </c>
      <c r="E20" s="161">
        <v>5824</v>
      </c>
      <c r="F20" s="157">
        <v>0</v>
      </c>
      <c r="G20" s="157">
        <v>0</v>
      </c>
      <c r="H20" s="157">
        <v>25</v>
      </c>
      <c r="I20" s="163">
        <v>0</v>
      </c>
      <c r="J20" s="164">
        <f t="shared" si="1"/>
        <v>87360</v>
      </c>
      <c r="K20" s="156"/>
    </row>
    <row r="21" spans="1:11" s="155" customFormat="1" ht="15" customHeight="1">
      <c r="A21" s="160">
        <v>7</v>
      </c>
      <c r="B21" s="160" t="s">
        <v>511</v>
      </c>
      <c r="C21" s="161">
        <v>1</v>
      </c>
      <c r="D21" s="157">
        <f t="shared" si="0"/>
        <v>5242</v>
      </c>
      <c r="E21" s="161">
        <v>5242</v>
      </c>
      <c r="F21" s="157">
        <v>0</v>
      </c>
      <c r="G21" s="157">
        <v>0</v>
      </c>
      <c r="H21" s="157">
        <v>25</v>
      </c>
      <c r="I21" s="163">
        <v>0</v>
      </c>
      <c r="J21" s="164">
        <f t="shared" si="1"/>
        <v>78630</v>
      </c>
      <c r="K21" s="156"/>
    </row>
    <row r="22" spans="1:11" s="155" customFormat="1" ht="25.5" customHeight="1">
      <c r="A22" s="160">
        <v>8</v>
      </c>
      <c r="B22" s="305" t="s">
        <v>512</v>
      </c>
      <c r="C22" s="161">
        <v>1</v>
      </c>
      <c r="D22" s="157">
        <f t="shared" si="0"/>
        <v>5242</v>
      </c>
      <c r="E22" s="161">
        <v>5242</v>
      </c>
      <c r="F22" s="157">
        <v>0</v>
      </c>
      <c r="G22" s="157">
        <v>0</v>
      </c>
      <c r="H22" s="157">
        <v>25</v>
      </c>
      <c r="I22" s="163">
        <v>0</v>
      </c>
      <c r="J22" s="164">
        <f t="shared" si="1"/>
        <v>78630</v>
      </c>
      <c r="K22" s="156"/>
    </row>
    <row r="23" spans="1:11" s="155" customFormat="1" ht="25.5" customHeight="1">
      <c r="A23" s="160">
        <v>9</v>
      </c>
      <c r="B23" s="160" t="s">
        <v>513</v>
      </c>
      <c r="C23" s="161">
        <v>1</v>
      </c>
      <c r="D23" s="157">
        <f t="shared" si="0"/>
        <v>5242</v>
      </c>
      <c r="E23" s="161">
        <v>5242</v>
      </c>
      <c r="F23" s="157">
        <v>0</v>
      </c>
      <c r="G23" s="157">
        <v>0</v>
      </c>
      <c r="H23" s="157">
        <v>25</v>
      </c>
      <c r="I23" s="163">
        <v>0</v>
      </c>
      <c r="J23" s="164">
        <f t="shared" si="1"/>
        <v>78630</v>
      </c>
      <c r="K23" s="156"/>
    </row>
    <row r="24" spans="1:11" s="155" customFormat="1" ht="25.5" customHeight="1">
      <c r="A24" s="160">
        <v>10</v>
      </c>
      <c r="B24" s="160" t="s">
        <v>514</v>
      </c>
      <c r="C24" s="161">
        <v>1</v>
      </c>
      <c r="D24" s="157">
        <f t="shared" si="0"/>
        <v>5242</v>
      </c>
      <c r="E24" s="161">
        <v>5242</v>
      </c>
      <c r="F24" s="157">
        <v>0</v>
      </c>
      <c r="G24" s="157">
        <v>0</v>
      </c>
      <c r="H24" s="157">
        <v>25</v>
      </c>
      <c r="I24" s="163">
        <v>0</v>
      </c>
      <c r="J24" s="164">
        <f t="shared" si="1"/>
        <v>78630</v>
      </c>
      <c r="K24" s="156"/>
    </row>
    <row r="25" spans="1:11" s="155" customFormat="1" ht="15" customHeight="1">
      <c r="A25" s="160">
        <v>11</v>
      </c>
      <c r="B25" s="160" t="s">
        <v>515</v>
      </c>
      <c r="C25" s="161">
        <v>1</v>
      </c>
      <c r="D25" s="157">
        <f t="shared" si="0"/>
        <v>5242</v>
      </c>
      <c r="E25" s="161">
        <v>5242</v>
      </c>
      <c r="F25" s="157">
        <v>0</v>
      </c>
      <c r="G25" s="157">
        <v>0</v>
      </c>
      <c r="H25" s="157">
        <v>25</v>
      </c>
      <c r="I25" s="163">
        <v>0</v>
      </c>
      <c r="J25" s="164">
        <f t="shared" si="1"/>
        <v>78630</v>
      </c>
      <c r="K25" s="156"/>
    </row>
    <row r="26" spans="1:11" s="155" customFormat="1" ht="15" customHeight="1">
      <c r="A26" s="160">
        <v>12</v>
      </c>
      <c r="B26" s="160" t="s">
        <v>515</v>
      </c>
      <c r="C26" s="161">
        <v>1</v>
      </c>
      <c r="D26" s="157">
        <f t="shared" si="0"/>
        <v>5242</v>
      </c>
      <c r="E26" s="161">
        <v>5242</v>
      </c>
      <c r="F26" s="157">
        <v>0</v>
      </c>
      <c r="G26" s="157">
        <v>0</v>
      </c>
      <c r="H26" s="157">
        <v>25</v>
      </c>
      <c r="I26" s="163">
        <v>0</v>
      </c>
      <c r="J26" s="164">
        <f t="shared" si="1"/>
        <v>78630</v>
      </c>
      <c r="K26" s="156"/>
    </row>
    <row r="27" spans="1:11" s="155" customFormat="1" ht="15" customHeight="1">
      <c r="A27" s="160">
        <v>13</v>
      </c>
      <c r="B27" s="160" t="s">
        <v>516</v>
      </c>
      <c r="C27" s="161">
        <v>0.5</v>
      </c>
      <c r="D27" s="157">
        <f t="shared" si="0"/>
        <v>2621</v>
      </c>
      <c r="E27" s="161">
        <v>2621</v>
      </c>
      <c r="F27" s="157">
        <v>0</v>
      </c>
      <c r="G27" s="157">
        <v>0</v>
      </c>
      <c r="H27" s="157">
        <v>25</v>
      </c>
      <c r="I27" s="163">
        <v>0</v>
      </c>
      <c r="J27" s="164">
        <f t="shared" si="1"/>
        <v>39315</v>
      </c>
      <c r="K27" s="156"/>
    </row>
    <row r="28" spans="1:11" s="155" customFormat="1" ht="15" customHeight="1">
      <c r="A28" s="160">
        <v>14</v>
      </c>
      <c r="B28" s="160" t="s">
        <v>516</v>
      </c>
      <c r="C28" s="161">
        <v>1</v>
      </c>
      <c r="D28" s="157">
        <f t="shared" si="0"/>
        <v>5242</v>
      </c>
      <c r="E28" s="161">
        <v>5242</v>
      </c>
      <c r="F28" s="157">
        <v>0</v>
      </c>
      <c r="G28" s="157">
        <v>0</v>
      </c>
      <c r="H28" s="157">
        <v>25</v>
      </c>
      <c r="I28" s="163">
        <v>0</v>
      </c>
      <c r="J28" s="164">
        <f t="shared" si="1"/>
        <v>78630</v>
      </c>
      <c r="K28" s="156"/>
    </row>
    <row r="29" spans="1:11" s="155" customFormat="1" ht="15" customHeight="1">
      <c r="A29" s="160">
        <v>15</v>
      </c>
      <c r="B29" s="160" t="s">
        <v>516</v>
      </c>
      <c r="C29" s="161">
        <v>0.5</v>
      </c>
      <c r="D29" s="157">
        <f t="shared" si="0"/>
        <v>2621</v>
      </c>
      <c r="E29" s="161">
        <v>2621</v>
      </c>
      <c r="F29" s="157">
        <v>0</v>
      </c>
      <c r="G29" s="157">
        <v>0</v>
      </c>
      <c r="H29" s="157">
        <v>25</v>
      </c>
      <c r="I29" s="163">
        <v>0</v>
      </c>
      <c r="J29" s="164">
        <f t="shared" si="1"/>
        <v>39315</v>
      </c>
      <c r="K29" s="156"/>
    </row>
    <row r="30" spans="1:11" s="155" customFormat="1" ht="15" customHeight="1">
      <c r="A30" s="160">
        <v>16</v>
      </c>
      <c r="B30" s="160" t="s">
        <v>868</v>
      </c>
      <c r="C30" s="161">
        <v>1</v>
      </c>
      <c r="D30" s="157">
        <f t="shared" si="0"/>
        <v>5242</v>
      </c>
      <c r="E30" s="161">
        <v>5242</v>
      </c>
      <c r="F30" s="157">
        <v>0</v>
      </c>
      <c r="G30" s="157">
        <v>0</v>
      </c>
      <c r="H30" s="157">
        <v>25</v>
      </c>
      <c r="I30" s="163">
        <v>0</v>
      </c>
      <c r="J30" s="164">
        <f t="shared" si="1"/>
        <v>78630</v>
      </c>
      <c r="K30" s="156"/>
    </row>
    <row r="31" spans="1:11" s="155" customFormat="1" ht="15" customHeight="1">
      <c r="A31" s="160">
        <v>17</v>
      </c>
      <c r="B31" s="160" t="s">
        <v>517</v>
      </c>
      <c r="C31" s="161">
        <v>0.5</v>
      </c>
      <c r="D31" s="157">
        <f t="shared" si="0"/>
        <v>2621</v>
      </c>
      <c r="E31" s="161">
        <v>2621</v>
      </c>
      <c r="F31" s="157">
        <v>0</v>
      </c>
      <c r="G31" s="157">
        <v>0</v>
      </c>
      <c r="H31" s="157">
        <v>25</v>
      </c>
      <c r="I31" s="163">
        <v>0</v>
      </c>
      <c r="J31" s="164">
        <f t="shared" si="1"/>
        <v>39315</v>
      </c>
      <c r="K31" s="156"/>
    </row>
    <row r="32" spans="1:11" s="155" customFormat="1" ht="15" customHeight="1">
      <c r="A32" s="160">
        <v>18</v>
      </c>
      <c r="B32" s="160" t="s">
        <v>869</v>
      </c>
      <c r="C32" s="161">
        <v>1</v>
      </c>
      <c r="D32" s="157">
        <f t="shared" si="0"/>
        <v>5242</v>
      </c>
      <c r="E32" s="161">
        <v>5242</v>
      </c>
      <c r="F32" s="157">
        <v>0</v>
      </c>
      <c r="G32" s="157">
        <v>0</v>
      </c>
      <c r="H32" s="157">
        <v>25</v>
      </c>
      <c r="I32" s="163">
        <v>0</v>
      </c>
      <c r="J32" s="164">
        <f t="shared" si="1"/>
        <v>78630</v>
      </c>
      <c r="K32" s="156"/>
    </row>
    <row r="33" spans="1:11" s="155" customFormat="1" ht="15" customHeight="1">
      <c r="A33" s="160">
        <v>19</v>
      </c>
      <c r="B33" s="160" t="s">
        <v>869</v>
      </c>
      <c r="C33" s="161">
        <v>1</v>
      </c>
      <c r="D33" s="157">
        <f t="shared" si="0"/>
        <v>5242</v>
      </c>
      <c r="E33" s="161">
        <v>5242</v>
      </c>
      <c r="F33" s="157">
        <v>0</v>
      </c>
      <c r="G33" s="157">
        <v>0</v>
      </c>
      <c r="H33" s="157">
        <v>25</v>
      </c>
      <c r="I33" s="163">
        <v>0</v>
      </c>
      <c r="J33" s="164">
        <f t="shared" si="1"/>
        <v>78630</v>
      </c>
      <c r="K33" s="156"/>
    </row>
    <row r="34" spans="1:11" s="155" customFormat="1" ht="15" customHeight="1">
      <c r="A34" s="160">
        <v>20</v>
      </c>
      <c r="B34" s="160" t="s">
        <v>518</v>
      </c>
      <c r="C34" s="161">
        <v>0.5</v>
      </c>
      <c r="D34" s="157">
        <f t="shared" si="0"/>
        <v>2222.5</v>
      </c>
      <c r="E34" s="161">
        <v>2222.5</v>
      </c>
      <c r="F34" s="157">
        <v>0</v>
      </c>
      <c r="G34" s="157">
        <v>0</v>
      </c>
      <c r="H34" s="157">
        <v>25</v>
      </c>
      <c r="I34" s="163">
        <v>0</v>
      </c>
      <c r="J34" s="164">
        <f t="shared" si="1"/>
        <v>33337.5</v>
      </c>
      <c r="K34" s="156"/>
    </row>
    <row r="35" spans="1:11" s="155" customFormat="1" ht="15" customHeight="1">
      <c r="A35" s="160">
        <v>21</v>
      </c>
      <c r="B35" s="160" t="s">
        <v>518</v>
      </c>
      <c r="C35" s="161">
        <v>0.5</v>
      </c>
      <c r="D35" s="157">
        <f t="shared" si="0"/>
        <v>2222.5</v>
      </c>
      <c r="E35" s="161">
        <v>2222.5</v>
      </c>
      <c r="F35" s="157">
        <v>0</v>
      </c>
      <c r="G35" s="157">
        <v>0</v>
      </c>
      <c r="H35" s="157">
        <v>25</v>
      </c>
      <c r="I35" s="163">
        <v>0</v>
      </c>
      <c r="J35" s="164">
        <f t="shared" si="1"/>
        <v>33337.5</v>
      </c>
      <c r="K35" s="156"/>
    </row>
    <row r="36" spans="1:11" s="155" customFormat="1" ht="15" customHeight="1">
      <c r="A36" s="160">
        <v>23</v>
      </c>
      <c r="B36" s="160" t="s">
        <v>520</v>
      </c>
      <c r="C36" s="161">
        <v>1</v>
      </c>
      <c r="D36" s="157">
        <f t="shared" si="0"/>
        <v>5242</v>
      </c>
      <c r="E36" s="161">
        <v>5242</v>
      </c>
      <c r="F36" s="157">
        <v>0</v>
      </c>
      <c r="G36" s="157">
        <v>0</v>
      </c>
      <c r="H36" s="157">
        <v>25</v>
      </c>
      <c r="I36" s="163">
        <v>0</v>
      </c>
      <c r="J36" s="164">
        <f t="shared" si="1"/>
        <v>78630</v>
      </c>
      <c r="K36" s="156"/>
    </row>
    <row r="37" spans="1:11" s="155" customFormat="1" ht="15" customHeight="1">
      <c r="A37" s="160">
        <v>26</v>
      </c>
      <c r="B37" s="160" t="s">
        <v>522</v>
      </c>
      <c r="C37" s="161">
        <v>1</v>
      </c>
      <c r="D37" s="157">
        <f t="shared" si="0"/>
        <v>3344</v>
      </c>
      <c r="E37" s="161">
        <v>3344</v>
      </c>
      <c r="F37" s="157">
        <v>0</v>
      </c>
      <c r="G37" s="157">
        <v>0</v>
      </c>
      <c r="H37" s="157">
        <v>25</v>
      </c>
      <c r="I37" s="163">
        <v>0</v>
      </c>
      <c r="J37" s="164">
        <f t="shared" si="1"/>
        <v>50160</v>
      </c>
      <c r="K37" s="156"/>
    </row>
    <row r="38" spans="1:11" s="155" customFormat="1" ht="15" customHeight="1">
      <c r="A38" s="160">
        <v>27</v>
      </c>
      <c r="B38" s="160" t="s">
        <v>522</v>
      </c>
      <c r="C38" s="161">
        <v>1</v>
      </c>
      <c r="D38" s="157">
        <f t="shared" si="0"/>
        <v>3344</v>
      </c>
      <c r="E38" s="161">
        <v>3344</v>
      </c>
      <c r="F38" s="157">
        <v>0</v>
      </c>
      <c r="G38" s="157">
        <v>0</v>
      </c>
      <c r="H38" s="157">
        <v>25</v>
      </c>
      <c r="I38" s="163">
        <v>0</v>
      </c>
      <c r="J38" s="164">
        <f t="shared" si="1"/>
        <v>50160</v>
      </c>
      <c r="K38" s="156"/>
    </row>
    <row r="39" spans="1:11" s="155" customFormat="1" ht="15" customHeight="1">
      <c r="A39" s="160">
        <v>28</v>
      </c>
      <c r="B39" s="160" t="s">
        <v>522</v>
      </c>
      <c r="C39" s="161">
        <v>1</v>
      </c>
      <c r="D39" s="157">
        <f t="shared" si="0"/>
        <v>3344</v>
      </c>
      <c r="E39" s="161">
        <v>3344</v>
      </c>
      <c r="F39" s="157">
        <v>0</v>
      </c>
      <c r="G39" s="157">
        <v>0</v>
      </c>
      <c r="H39" s="157">
        <v>25</v>
      </c>
      <c r="I39" s="163">
        <v>0</v>
      </c>
      <c r="J39" s="164">
        <f t="shared" si="1"/>
        <v>50160</v>
      </c>
      <c r="K39" s="156"/>
    </row>
    <row r="40" spans="1:11" s="155" customFormat="1" ht="15" customHeight="1">
      <c r="A40" s="160">
        <v>29</v>
      </c>
      <c r="B40" s="160" t="s">
        <v>523</v>
      </c>
      <c r="C40" s="161">
        <v>0.5</v>
      </c>
      <c r="D40" s="157">
        <f t="shared" si="0"/>
        <v>2222.5</v>
      </c>
      <c r="E40" s="161">
        <v>2222.5</v>
      </c>
      <c r="F40" s="157">
        <v>0</v>
      </c>
      <c r="G40" s="157">
        <v>0</v>
      </c>
      <c r="H40" s="157">
        <v>25</v>
      </c>
      <c r="I40" s="163">
        <v>0</v>
      </c>
      <c r="J40" s="164">
        <f t="shared" si="1"/>
        <v>33337.5</v>
      </c>
      <c r="K40" s="156"/>
    </row>
    <row r="41" spans="1:11" s="155" customFormat="1" ht="38.25">
      <c r="A41" s="160">
        <v>30</v>
      </c>
      <c r="B41" s="165" t="s">
        <v>524</v>
      </c>
      <c r="C41" s="161">
        <v>1</v>
      </c>
      <c r="D41" s="157">
        <f t="shared" si="0"/>
        <v>4445</v>
      </c>
      <c r="E41" s="161">
        <v>4445</v>
      </c>
      <c r="F41" s="157">
        <v>0</v>
      </c>
      <c r="G41" s="157">
        <v>0</v>
      </c>
      <c r="H41" s="157">
        <v>25</v>
      </c>
      <c r="I41" s="163">
        <v>0</v>
      </c>
      <c r="J41" s="164">
        <f t="shared" si="1"/>
        <v>66675</v>
      </c>
      <c r="K41" s="156"/>
    </row>
    <row r="42" spans="1:11" s="155" customFormat="1" ht="15" customHeight="1">
      <c r="A42" s="160">
        <v>31</v>
      </c>
      <c r="B42" s="305" t="s">
        <v>525</v>
      </c>
      <c r="C42" s="161">
        <v>1</v>
      </c>
      <c r="D42" s="157">
        <f t="shared" si="0"/>
        <v>4445</v>
      </c>
      <c r="E42" s="161">
        <v>4445</v>
      </c>
      <c r="F42" s="157">
        <v>0</v>
      </c>
      <c r="G42" s="157">
        <v>0</v>
      </c>
      <c r="H42" s="157">
        <v>25</v>
      </c>
      <c r="I42" s="163">
        <v>0</v>
      </c>
      <c r="J42" s="164">
        <f t="shared" si="1"/>
        <v>66675</v>
      </c>
      <c r="K42" s="156"/>
    </row>
    <row r="43" spans="1:11" s="155" customFormat="1" ht="15" customHeight="1">
      <c r="A43" s="160">
        <v>32</v>
      </c>
      <c r="B43" s="160" t="s">
        <v>527</v>
      </c>
      <c r="C43" s="161">
        <v>1</v>
      </c>
      <c r="D43" s="157">
        <f t="shared" si="0"/>
        <v>3344</v>
      </c>
      <c r="E43" s="161">
        <v>3344</v>
      </c>
      <c r="F43" s="157">
        <v>0</v>
      </c>
      <c r="G43" s="157">
        <v>0</v>
      </c>
      <c r="H43" s="157">
        <v>25</v>
      </c>
      <c r="I43" s="163">
        <v>0</v>
      </c>
      <c r="J43" s="164">
        <f t="shared" si="1"/>
        <v>50160</v>
      </c>
      <c r="K43" s="156"/>
    </row>
    <row r="44" spans="1:11" s="155" customFormat="1" ht="15" customHeight="1">
      <c r="A44" s="160">
        <v>33</v>
      </c>
      <c r="B44" s="160" t="s">
        <v>527</v>
      </c>
      <c r="C44" s="161">
        <v>1</v>
      </c>
      <c r="D44" s="157">
        <f t="shared" si="0"/>
        <v>3344</v>
      </c>
      <c r="E44" s="161">
        <v>3344</v>
      </c>
      <c r="F44" s="157">
        <v>0</v>
      </c>
      <c r="G44" s="157">
        <v>0</v>
      </c>
      <c r="H44" s="157">
        <v>25</v>
      </c>
      <c r="I44" s="163">
        <v>0</v>
      </c>
      <c r="J44" s="164">
        <f t="shared" si="1"/>
        <v>50160</v>
      </c>
      <c r="K44" s="156"/>
    </row>
    <row r="45" spans="1:11" s="155" customFormat="1" ht="15" customHeight="1">
      <c r="A45" s="160">
        <v>34</v>
      </c>
      <c r="B45" s="160" t="s">
        <v>527</v>
      </c>
      <c r="C45" s="161">
        <v>1</v>
      </c>
      <c r="D45" s="157">
        <f t="shared" si="0"/>
        <v>3344</v>
      </c>
      <c r="E45" s="161">
        <v>3344</v>
      </c>
      <c r="F45" s="157">
        <v>0</v>
      </c>
      <c r="G45" s="157">
        <v>0</v>
      </c>
      <c r="H45" s="157">
        <v>25</v>
      </c>
      <c r="I45" s="163">
        <v>0</v>
      </c>
      <c r="J45" s="164">
        <f t="shared" si="1"/>
        <v>50160</v>
      </c>
      <c r="K45" s="156"/>
    </row>
    <row r="46" spans="1:11" s="155" customFormat="1" ht="23.25" customHeight="1">
      <c r="A46" s="160">
        <v>35</v>
      </c>
      <c r="B46" s="160" t="s">
        <v>527</v>
      </c>
      <c r="C46" s="161">
        <v>1</v>
      </c>
      <c r="D46" s="157">
        <f t="shared" si="0"/>
        <v>3344</v>
      </c>
      <c r="E46" s="161">
        <v>3344</v>
      </c>
      <c r="F46" s="157">
        <v>0</v>
      </c>
      <c r="G46" s="157">
        <v>0</v>
      </c>
      <c r="H46" s="157">
        <v>25</v>
      </c>
      <c r="I46" s="163">
        <v>0</v>
      </c>
      <c r="J46" s="164">
        <f t="shared" si="1"/>
        <v>50160</v>
      </c>
      <c r="K46" s="156"/>
    </row>
    <row r="47" spans="1:11" s="155" customFormat="1" ht="15" customHeight="1">
      <c r="A47" s="160">
        <v>36</v>
      </c>
      <c r="B47" s="160" t="s">
        <v>527</v>
      </c>
      <c r="C47" s="161">
        <v>1</v>
      </c>
      <c r="D47" s="157">
        <f t="shared" si="0"/>
        <v>3344</v>
      </c>
      <c r="E47" s="161">
        <v>3344</v>
      </c>
      <c r="F47" s="157">
        <v>0</v>
      </c>
      <c r="G47" s="157">
        <v>0</v>
      </c>
      <c r="H47" s="157">
        <v>25</v>
      </c>
      <c r="I47" s="163">
        <v>0</v>
      </c>
      <c r="J47" s="164">
        <f t="shared" si="1"/>
        <v>50160</v>
      </c>
      <c r="K47" s="156"/>
    </row>
    <row r="48" spans="1:11" s="155" customFormat="1" ht="12.75">
      <c r="A48" s="160">
        <v>37</v>
      </c>
      <c r="B48" s="160" t="s">
        <v>527</v>
      </c>
      <c r="C48" s="161">
        <v>1</v>
      </c>
      <c r="D48" s="157">
        <f t="shared" si="0"/>
        <v>3344</v>
      </c>
      <c r="E48" s="161">
        <v>3344</v>
      </c>
      <c r="F48" s="157">
        <v>0</v>
      </c>
      <c r="G48" s="157">
        <v>0</v>
      </c>
      <c r="H48" s="157">
        <v>25</v>
      </c>
      <c r="I48" s="163">
        <v>0</v>
      </c>
      <c r="J48" s="164">
        <f t="shared" si="1"/>
        <v>50160</v>
      </c>
      <c r="K48" s="156"/>
    </row>
    <row r="49" spans="1:11" s="155" customFormat="1" ht="15" customHeight="1">
      <c r="A49" s="160">
        <v>38</v>
      </c>
      <c r="B49" s="160" t="s">
        <v>527</v>
      </c>
      <c r="C49" s="161">
        <v>1</v>
      </c>
      <c r="D49" s="157">
        <f t="shared" si="0"/>
        <v>3344</v>
      </c>
      <c r="E49" s="161">
        <v>3344</v>
      </c>
      <c r="F49" s="157">
        <v>0</v>
      </c>
      <c r="G49" s="157">
        <v>0</v>
      </c>
      <c r="H49" s="157">
        <v>25</v>
      </c>
      <c r="I49" s="163">
        <v>0</v>
      </c>
      <c r="J49" s="164">
        <f t="shared" si="1"/>
        <v>50160</v>
      </c>
      <c r="K49" s="156"/>
    </row>
    <row r="50" spans="1:11" s="155" customFormat="1" ht="14.25" customHeight="1">
      <c r="A50" s="160">
        <v>39</v>
      </c>
      <c r="B50" s="160" t="s">
        <v>527</v>
      </c>
      <c r="C50" s="161">
        <v>1</v>
      </c>
      <c r="D50" s="157">
        <f t="shared" si="0"/>
        <v>3344</v>
      </c>
      <c r="E50" s="161">
        <v>3344</v>
      </c>
      <c r="F50" s="157">
        <v>0</v>
      </c>
      <c r="G50" s="157">
        <v>0</v>
      </c>
      <c r="H50" s="157">
        <v>25</v>
      </c>
      <c r="I50" s="163">
        <v>0</v>
      </c>
      <c r="J50" s="164">
        <f t="shared" si="1"/>
        <v>50160</v>
      </c>
      <c r="K50" s="156"/>
    </row>
    <row r="51" spans="1:11" s="155" customFormat="1" ht="14.25" customHeight="1">
      <c r="A51" s="160">
        <v>40</v>
      </c>
      <c r="B51" s="160" t="s">
        <v>527</v>
      </c>
      <c r="C51" s="161">
        <v>1</v>
      </c>
      <c r="D51" s="157">
        <f t="shared" si="0"/>
        <v>3344</v>
      </c>
      <c r="E51" s="161">
        <v>3344</v>
      </c>
      <c r="F51" s="157">
        <v>0</v>
      </c>
      <c r="G51" s="157">
        <v>0</v>
      </c>
      <c r="H51" s="157">
        <v>25</v>
      </c>
      <c r="I51" s="163">
        <v>0</v>
      </c>
      <c r="J51" s="164">
        <f t="shared" si="1"/>
        <v>50160</v>
      </c>
      <c r="K51" s="156"/>
    </row>
    <row r="52" spans="1:11" s="155" customFormat="1" ht="14.25" customHeight="1">
      <c r="A52" s="160">
        <v>41</v>
      </c>
      <c r="B52" s="160" t="s">
        <v>527</v>
      </c>
      <c r="C52" s="161">
        <v>0.5</v>
      </c>
      <c r="D52" s="157">
        <f t="shared" si="0"/>
        <v>1672</v>
      </c>
      <c r="E52" s="161">
        <v>1672</v>
      </c>
      <c r="F52" s="157">
        <v>0</v>
      </c>
      <c r="G52" s="157">
        <v>0</v>
      </c>
      <c r="H52" s="157">
        <v>25</v>
      </c>
      <c r="I52" s="163">
        <v>0</v>
      </c>
      <c r="J52" s="164">
        <f t="shared" si="1"/>
        <v>25080</v>
      </c>
      <c r="K52" s="156"/>
    </row>
    <row r="53" spans="1:11" s="155" customFormat="1" ht="14.25" customHeight="1">
      <c r="A53" s="160">
        <v>42</v>
      </c>
      <c r="B53" s="160" t="s">
        <v>527</v>
      </c>
      <c r="C53" s="161">
        <v>0.5</v>
      </c>
      <c r="D53" s="157">
        <f t="shared" si="0"/>
        <v>1672</v>
      </c>
      <c r="E53" s="161">
        <v>1672</v>
      </c>
      <c r="F53" s="157">
        <v>0</v>
      </c>
      <c r="G53" s="157">
        <v>0</v>
      </c>
      <c r="H53" s="157">
        <v>25</v>
      </c>
      <c r="I53" s="163">
        <v>0</v>
      </c>
      <c r="J53" s="164">
        <f>D53*1.25*12+I53*12</f>
        <v>25080</v>
      </c>
      <c r="K53" s="156"/>
    </row>
    <row r="54" spans="1:11" s="155" customFormat="1" ht="14.25" customHeight="1">
      <c r="A54" s="160">
        <v>43</v>
      </c>
      <c r="B54" s="160" t="s">
        <v>527</v>
      </c>
      <c r="C54" s="161">
        <v>1</v>
      </c>
      <c r="D54" s="157">
        <f t="shared" si="0"/>
        <v>3344</v>
      </c>
      <c r="E54" s="161">
        <v>3344</v>
      </c>
      <c r="F54" s="157">
        <v>0</v>
      </c>
      <c r="G54" s="157">
        <v>0</v>
      </c>
      <c r="H54" s="157">
        <v>25</v>
      </c>
      <c r="I54" s="163">
        <v>0</v>
      </c>
      <c r="J54" s="164">
        <f t="shared" si="1"/>
        <v>50160</v>
      </c>
      <c r="K54" s="156"/>
    </row>
    <row r="55" spans="1:11" s="155" customFormat="1" ht="14.25" customHeight="1">
      <c r="A55" s="160">
        <v>44</v>
      </c>
      <c r="B55" s="160" t="s">
        <v>527</v>
      </c>
      <c r="C55" s="161">
        <v>1</v>
      </c>
      <c r="D55" s="157">
        <f t="shared" si="0"/>
        <v>3344</v>
      </c>
      <c r="E55" s="161">
        <v>3344</v>
      </c>
      <c r="F55" s="157">
        <v>0</v>
      </c>
      <c r="G55" s="157">
        <v>0</v>
      </c>
      <c r="H55" s="157">
        <v>25</v>
      </c>
      <c r="I55" s="163">
        <v>0</v>
      </c>
      <c r="J55" s="164">
        <f t="shared" si="1"/>
        <v>50160</v>
      </c>
      <c r="K55" s="156"/>
    </row>
    <row r="56" spans="1:11" s="155" customFormat="1" ht="14.25" customHeight="1">
      <c r="A56" s="160">
        <v>45</v>
      </c>
      <c r="B56" s="160" t="s">
        <v>526</v>
      </c>
      <c r="C56" s="161">
        <v>1</v>
      </c>
      <c r="D56" s="157">
        <f t="shared" si="0"/>
        <v>3344</v>
      </c>
      <c r="E56" s="161">
        <v>3344</v>
      </c>
      <c r="F56" s="157">
        <v>0</v>
      </c>
      <c r="G56" s="157">
        <v>0</v>
      </c>
      <c r="H56" s="157">
        <v>25</v>
      </c>
      <c r="I56" s="163">
        <v>0</v>
      </c>
      <c r="J56" s="164">
        <f t="shared" si="1"/>
        <v>50160</v>
      </c>
      <c r="K56" s="156"/>
    </row>
    <row r="57" spans="1:11" s="155" customFormat="1" ht="14.25" customHeight="1">
      <c r="A57" s="160">
        <v>46</v>
      </c>
      <c r="B57" s="160" t="s">
        <v>526</v>
      </c>
      <c r="C57" s="161">
        <v>1</v>
      </c>
      <c r="D57" s="157">
        <f t="shared" si="0"/>
        <v>3344</v>
      </c>
      <c r="E57" s="161">
        <v>3344</v>
      </c>
      <c r="F57" s="162">
        <v>0</v>
      </c>
      <c r="G57" s="157">
        <v>0</v>
      </c>
      <c r="H57" s="157">
        <v>25</v>
      </c>
      <c r="I57" s="163">
        <v>0</v>
      </c>
      <c r="J57" s="164">
        <f t="shared" si="1"/>
        <v>50160</v>
      </c>
      <c r="K57" s="156"/>
    </row>
    <row r="58" spans="1:11" s="155" customFormat="1" ht="15" customHeight="1">
      <c r="A58" s="160">
        <v>56</v>
      </c>
      <c r="B58" s="160" t="s">
        <v>528</v>
      </c>
      <c r="C58" s="161"/>
      <c r="D58" s="157">
        <f>209425.96-3333.33+89633.33+104983.87-224+800</f>
        <v>401285.83</v>
      </c>
      <c r="E58" s="161">
        <v>0</v>
      </c>
      <c r="F58" s="157">
        <v>0</v>
      </c>
      <c r="G58" s="157">
        <v>0</v>
      </c>
      <c r="H58" s="157">
        <v>25</v>
      </c>
      <c r="I58" s="163">
        <v>0</v>
      </c>
      <c r="J58" s="164">
        <f>D58*1.25*12+I58*12+0.05</f>
        <v>6019287.5</v>
      </c>
      <c r="K58" s="156"/>
    </row>
    <row r="59" spans="1:11" ht="27" customHeight="1">
      <c r="A59" s="839" t="s">
        <v>658</v>
      </c>
      <c r="B59" s="840"/>
      <c r="C59" s="633">
        <f>SUM(C14:C57)</f>
        <v>42</v>
      </c>
      <c r="D59" s="633">
        <f>SUM(D14:D58)</f>
        <v>575737.3300000001</v>
      </c>
      <c r="E59" s="633">
        <f>SUM(E14:E57)</f>
        <v>174452.5</v>
      </c>
      <c r="F59" s="633">
        <f>SUM(F15:F57)</f>
        <v>0</v>
      </c>
      <c r="G59" s="633">
        <f>SUM(G15:G58)</f>
        <v>0</v>
      </c>
      <c r="H59" s="633" t="s">
        <v>530</v>
      </c>
      <c r="I59" s="633">
        <f>SUM(I15:I58)</f>
        <v>0</v>
      </c>
      <c r="J59" s="633">
        <f>SUM(J15:J58)+0.05-1344500-0.05</f>
        <v>7291500.000000001</v>
      </c>
      <c r="K59" s="847">
        <f>J59+J60</f>
        <v>8636000</v>
      </c>
    </row>
    <row r="60" spans="1:12" ht="27" customHeight="1">
      <c r="A60" s="839" t="s">
        <v>659</v>
      </c>
      <c r="B60" s="840"/>
      <c r="C60" s="633"/>
      <c r="D60" s="633"/>
      <c r="E60" s="633"/>
      <c r="F60" s="633"/>
      <c r="G60" s="633"/>
      <c r="H60" s="633"/>
      <c r="I60" s="633"/>
      <c r="J60" s="633">
        <v>1344500</v>
      </c>
      <c r="K60" s="848"/>
      <c r="L60" s="668"/>
    </row>
    <row r="61" spans="1:11" ht="15" customHeight="1" hidden="1">
      <c r="A61" s="634"/>
      <c r="B61" s="634"/>
      <c r="C61" s="634"/>
      <c r="D61" s="634"/>
      <c r="E61" s="634"/>
      <c r="F61" s="634"/>
      <c r="G61" s="634"/>
      <c r="H61" s="634"/>
      <c r="I61" s="635"/>
      <c r="J61" s="634"/>
      <c r="K61" s="156"/>
    </row>
    <row r="62" spans="1:11" ht="15" customHeight="1" hidden="1">
      <c r="A62" s="634"/>
      <c r="B62" s="634"/>
      <c r="C62" s="634"/>
      <c r="D62" s="634"/>
      <c r="E62" s="634"/>
      <c r="F62" s="634"/>
      <c r="G62" s="634"/>
      <c r="H62" s="634"/>
      <c r="I62" s="635"/>
      <c r="J62" s="634"/>
      <c r="K62" s="156"/>
    </row>
    <row r="63" spans="1:11" ht="15" customHeight="1" hidden="1">
      <c r="A63" s="156" t="s">
        <v>493</v>
      </c>
      <c r="B63" s="156"/>
      <c r="C63" s="156"/>
      <c r="D63" s="156"/>
      <c r="E63" s="156" t="s">
        <v>531</v>
      </c>
      <c r="F63" s="156"/>
      <c r="G63" s="156"/>
      <c r="H63" s="156"/>
      <c r="I63" s="157"/>
      <c r="J63" s="156"/>
      <c r="K63" s="156"/>
    </row>
    <row r="64" spans="1:11" ht="15" customHeight="1" hidden="1">
      <c r="A64" s="156"/>
      <c r="B64" s="156"/>
      <c r="C64" s="156"/>
      <c r="D64" s="156"/>
      <c r="E64" s="156"/>
      <c r="F64" s="156"/>
      <c r="G64" s="156"/>
      <c r="H64" s="156"/>
      <c r="I64" s="157"/>
      <c r="J64" s="156"/>
      <c r="K64" s="156"/>
    </row>
    <row r="65" spans="1:11" ht="15" customHeight="1" hidden="1">
      <c r="A65" s="841" t="s">
        <v>495</v>
      </c>
      <c r="B65" s="841"/>
      <c r="C65" s="841"/>
      <c r="D65" s="841"/>
      <c r="E65" s="841"/>
      <c r="F65" s="841"/>
      <c r="G65" s="841"/>
      <c r="H65" s="841"/>
      <c r="I65" s="841"/>
      <c r="J65" s="841"/>
      <c r="K65" s="156"/>
    </row>
    <row r="66" spans="1:11" ht="15" customHeight="1" hidden="1">
      <c r="A66" s="156"/>
      <c r="B66" s="156"/>
      <c r="C66" s="156"/>
      <c r="D66" s="156"/>
      <c r="E66" s="156"/>
      <c r="F66" s="156"/>
      <c r="G66" s="156"/>
      <c r="H66" s="156"/>
      <c r="I66" s="157"/>
      <c r="J66" s="156"/>
      <c r="K66" s="156"/>
    </row>
    <row r="67" spans="1:11" ht="15" customHeight="1" hidden="1">
      <c r="A67" s="842" t="s">
        <v>496</v>
      </c>
      <c r="B67" s="842" t="s">
        <v>497</v>
      </c>
      <c r="C67" s="842" t="s">
        <v>498</v>
      </c>
      <c r="D67" s="842" t="s">
        <v>499</v>
      </c>
      <c r="E67" s="842"/>
      <c r="F67" s="842"/>
      <c r="G67" s="842"/>
      <c r="H67" s="842" t="s">
        <v>500</v>
      </c>
      <c r="I67" s="842" t="s">
        <v>501</v>
      </c>
      <c r="J67" s="842" t="s">
        <v>502</v>
      </c>
      <c r="K67" s="156"/>
    </row>
    <row r="68" spans="1:11" ht="15" customHeight="1" hidden="1">
      <c r="A68" s="842"/>
      <c r="B68" s="842"/>
      <c r="C68" s="842"/>
      <c r="D68" s="842" t="s">
        <v>503</v>
      </c>
      <c r="E68" s="842" t="s">
        <v>343</v>
      </c>
      <c r="F68" s="842"/>
      <c r="G68" s="842"/>
      <c r="H68" s="842"/>
      <c r="I68" s="842"/>
      <c r="J68" s="842"/>
      <c r="K68" s="156"/>
    </row>
    <row r="69" spans="1:11" ht="38.25" customHeight="1" hidden="1">
      <c r="A69" s="842"/>
      <c r="B69" s="842"/>
      <c r="C69" s="842"/>
      <c r="D69" s="842"/>
      <c r="E69" s="304" t="s">
        <v>504</v>
      </c>
      <c r="F69" s="304" t="s">
        <v>505</v>
      </c>
      <c r="G69" s="304" t="s">
        <v>506</v>
      </c>
      <c r="H69" s="842"/>
      <c r="I69" s="842"/>
      <c r="J69" s="842"/>
      <c r="K69" s="156"/>
    </row>
    <row r="70" spans="1:11" ht="15" customHeight="1" hidden="1">
      <c r="A70" s="157">
        <v>1</v>
      </c>
      <c r="B70" s="157">
        <v>2</v>
      </c>
      <c r="C70" s="157">
        <v>3</v>
      </c>
      <c r="D70" s="157">
        <v>4</v>
      </c>
      <c r="E70" s="157">
        <v>5</v>
      </c>
      <c r="F70" s="157">
        <v>6</v>
      </c>
      <c r="G70" s="157">
        <v>7</v>
      </c>
      <c r="H70" s="157">
        <v>8</v>
      </c>
      <c r="I70" s="157">
        <v>9</v>
      </c>
      <c r="J70" s="157">
        <v>10</v>
      </c>
      <c r="K70" s="156"/>
    </row>
    <row r="71" spans="1:11" s="155" customFormat="1" ht="15" customHeight="1">
      <c r="A71" s="160">
        <v>1</v>
      </c>
      <c r="B71" s="160" t="s">
        <v>507</v>
      </c>
      <c r="C71" s="161">
        <v>1</v>
      </c>
      <c r="D71" s="157">
        <f aca="true" t="shared" si="2" ref="D71:D116">E71+F71+G71</f>
        <v>22035</v>
      </c>
      <c r="E71" s="161">
        <v>0</v>
      </c>
      <c r="F71" s="157">
        <v>0</v>
      </c>
      <c r="G71" s="157">
        <f>22035</f>
        <v>22035</v>
      </c>
      <c r="H71" s="157">
        <v>25</v>
      </c>
      <c r="I71" s="163">
        <v>0</v>
      </c>
      <c r="J71" s="164">
        <f aca="true" t="shared" si="3" ref="J71:J117">D71*1.25*12+I71*12</f>
        <v>330525</v>
      </c>
      <c r="K71" s="156"/>
    </row>
    <row r="72" spans="1:11" s="155" customFormat="1" ht="15" customHeight="1">
      <c r="A72" s="160">
        <v>2</v>
      </c>
      <c r="B72" s="160" t="s">
        <v>508</v>
      </c>
      <c r="C72" s="161">
        <v>1</v>
      </c>
      <c r="D72" s="157">
        <f t="shared" si="2"/>
        <v>17628</v>
      </c>
      <c r="E72" s="161">
        <v>0</v>
      </c>
      <c r="F72" s="157">
        <v>0</v>
      </c>
      <c r="G72" s="157">
        <v>17628</v>
      </c>
      <c r="H72" s="157">
        <v>25</v>
      </c>
      <c r="I72" s="163">
        <v>0</v>
      </c>
      <c r="J72" s="164">
        <f t="shared" si="3"/>
        <v>264420</v>
      </c>
      <c r="K72" s="156"/>
    </row>
    <row r="73" spans="1:11" s="155" customFormat="1" ht="25.5">
      <c r="A73" s="160">
        <v>3</v>
      </c>
      <c r="B73" s="165" t="s">
        <v>866</v>
      </c>
      <c r="C73" s="161">
        <v>1</v>
      </c>
      <c r="D73" s="157">
        <f t="shared" si="2"/>
        <v>17472</v>
      </c>
      <c r="E73" s="161">
        <v>0</v>
      </c>
      <c r="F73" s="157">
        <v>0</v>
      </c>
      <c r="G73" s="157">
        <f>17472</f>
        <v>17472</v>
      </c>
      <c r="H73" s="157">
        <v>25</v>
      </c>
      <c r="I73" s="163">
        <v>0</v>
      </c>
      <c r="J73" s="164">
        <f t="shared" si="3"/>
        <v>262080</v>
      </c>
      <c r="K73" s="156"/>
    </row>
    <row r="74" spans="1:11" s="155" customFormat="1" ht="23.25" customHeight="1">
      <c r="A74" s="160">
        <v>4</v>
      </c>
      <c r="B74" s="160" t="s">
        <v>509</v>
      </c>
      <c r="C74" s="161">
        <v>1</v>
      </c>
      <c r="D74" s="157">
        <f t="shared" si="2"/>
        <v>13216</v>
      </c>
      <c r="E74" s="161">
        <v>0</v>
      </c>
      <c r="F74" s="157">
        <v>0</v>
      </c>
      <c r="G74" s="157">
        <f>5208+8008</f>
        <v>13216</v>
      </c>
      <c r="H74" s="157">
        <v>25</v>
      </c>
      <c r="I74" s="163">
        <v>0</v>
      </c>
      <c r="J74" s="164">
        <f t="shared" si="3"/>
        <v>198240</v>
      </c>
      <c r="K74" s="156"/>
    </row>
    <row r="75" spans="1:11" s="155" customFormat="1" ht="23.25" customHeight="1">
      <c r="A75" s="160">
        <v>5</v>
      </c>
      <c r="B75" s="165" t="s">
        <v>867</v>
      </c>
      <c r="C75" s="161">
        <v>1</v>
      </c>
      <c r="D75" s="157">
        <f t="shared" si="2"/>
        <v>0</v>
      </c>
      <c r="E75" s="161">
        <v>0</v>
      </c>
      <c r="F75" s="157">
        <v>0</v>
      </c>
      <c r="G75" s="157">
        <v>0</v>
      </c>
      <c r="H75" s="157">
        <v>25</v>
      </c>
      <c r="I75" s="163">
        <v>0</v>
      </c>
      <c r="J75" s="164">
        <f t="shared" si="3"/>
        <v>0</v>
      </c>
      <c r="K75" s="156"/>
    </row>
    <row r="76" spans="1:11" s="155" customFormat="1" ht="15" customHeight="1">
      <c r="A76" s="160">
        <v>6</v>
      </c>
      <c r="B76" s="165" t="s">
        <v>510</v>
      </c>
      <c r="C76" s="161">
        <v>1</v>
      </c>
      <c r="D76" s="157">
        <f t="shared" si="2"/>
        <v>18480</v>
      </c>
      <c r="E76" s="161">
        <v>0</v>
      </c>
      <c r="F76" s="157">
        <v>0</v>
      </c>
      <c r="G76" s="157">
        <v>18480</v>
      </c>
      <c r="H76" s="157">
        <v>25</v>
      </c>
      <c r="I76" s="163">
        <v>0</v>
      </c>
      <c r="J76" s="164">
        <f t="shared" si="3"/>
        <v>277200</v>
      </c>
      <c r="K76" s="156"/>
    </row>
    <row r="77" spans="1:11" s="155" customFormat="1" ht="15" customHeight="1">
      <c r="A77" s="160">
        <v>7</v>
      </c>
      <c r="B77" s="160" t="s">
        <v>511</v>
      </c>
      <c r="C77" s="161">
        <v>1</v>
      </c>
      <c r="D77" s="157">
        <f t="shared" si="2"/>
        <v>14140.32</v>
      </c>
      <c r="E77" s="161">
        <v>0</v>
      </c>
      <c r="F77" s="157">
        <v>0</v>
      </c>
      <c r="G77" s="157">
        <v>14140.32</v>
      </c>
      <c r="H77" s="157">
        <v>25</v>
      </c>
      <c r="I77" s="163">
        <v>0</v>
      </c>
      <c r="J77" s="164">
        <f t="shared" si="3"/>
        <v>212104.80000000002</v>
      </c>
      <c r="K77" s="156"/>
    </row>
    <row r="78" spans="1:11" s="155" customFormat="1" ht="15" customHeight="1">
      <c r="A78" s="160">
        <v>8</v>
      </c>
      <c r="B78" s="305" t="s">
        <v>512</v>
      </c>
      <c r="C78" s="161">
        <v>1</v>
      </c>
      <c r="D78" s="157">
        <f t="shared" si="2"/>
        <v>8232</v>
      </c>
      <c r="E78" s="161">
        <v>0</v>
      </c>
      <c r="F78" s="157">
        <v>0</v>
      </c>
      <c r="G78" s="157">
        <v>8232</v>
      </c>
      <c r="H78" s="157">
        <v>25</v>
      </c>
      <c r="I78" s="163">
        <v>0</v>
      </c>
      <c r="J78" s="164">
        <f t="shared" si="3"/>
        <v>123480</v>
      </c>
      <c r="K78" s="156"/>
    </row>
    <row r="79" spans="1:11" s="155" customFormat="1" ht="15" customHeight="1">
      <c r="A79" s="160">
        <v>9</v>
      </c>
      <c r="B79" s="160" t="s">
        <v>513</v>
      </c>
      <c r="C79" s="161">
        <v>1</v>
      </c>
      <c r="D79" s="157">
        <f t="shared" si="2"/>
        <v>8232</v>
      </c>
      <c r="E79" s="161">
        <v>0</v>
      </c>
      <c r="F79" s="157">
        <v>0</v>
      </c>
      <c r="G79" s="157">
        <v>8232</v>
      </c>
      <c r="H79" s="157">
        <v>25</v>
      </c>
      <c r="I79" s="163">
        <v>0</v>
      </c>
      <c r="J79" s="164">
        <f t="shared" si="3"/>
        <v>123480</v>
      </c>
      <c r="K79" s="156"/>
    </row>
    <row r="80" spans="1:11" s="155" customFormat="1" ht="15" customHeight="1">
      <c r="A80" s="160">
        <v>10</v>
      </c>
      <c r="B80" s="160" t="s">
        <v>514</v>
      </c>
      <c r="C80" s="161">
        <v>1</v>
      </c>
      <c r="D80" s="157">
        <f t="shared" si="2"/>
        <v>0</v>
      </c>
      <c r="E80" s="161">
        <v>0</v>
      </c>
      <c r="F80" s="157">
        <v>0</v>
      </c>
      <c r="G80" s="157">
        <v>0</v>
      </c>
      <c r="H80" s="157">
        <v>25</v>
      </c>
      <c r="I80" s="163">
        <v>0</v>
      </c>
      <c r="J80" s="164">
        <f t="shared" si="3"/>
        <v>0</v>
      </c>
      <c r="K80" s="156"/>
    </row>
    <row r="81" spans="1:11" s="155" customFormat="1" ht="15" customHeight="1">
      <c r="A81" s="160">
        <v>11</v>
      </c>
      <c r="B81" s="160" t="s">
        <v>515</v>
      </c>
      <c r="C81" s="161">
        <v>1</v>
      </c>
      <c r="D81" s="157">
        <f t="shared" si="2"/>
        <v>17488.8</v>
      </c>
      <c r="E81" s="161">
        <v>0</v>
      </c>
      <c r="F81" s="157">
        <v>0</v>
      </c>
      <c r="G81" s="157">
        <v>17488.8</v>
      </c>
      <c r="H81" s="157">
        <v>25</v>
      </c>
      <c r="I81" s="163">
        <v>0</v>
      </c>
      <c r="J81" s="164">
        <f t="shared" si="3"/>
        <v>262332</v>
      </c>
      <c r="K81" s="156"/>
    </row>
    <row r="82" spans="1:11" s="155" customFormat="1" ht="15" customHeight="1">
      <c r="A82" s="160">
        <v>12</v>
      </c>
      <c r="B82" s="160" t="s">
        <v>515</v>
      </c>
      <c r="C82" s="161">
        <v>1</v>
      </c>
      <c r="D82" s="157">
        <f t="shared" si="2"/>
        <v>4183.1</v>
      </c>
      <c r="E82" s="161">
        <v>0</v>
      </c>
      <c r="F82" s="157">
        <v>0</v>
      </c>
      <c r="G82" s="157">
        <v>4183.1</v>
      </c>
      <c r="H82" s="157">
        <v>25</v>
      </c>
      <c r="I82" s="163">
        <v>0</v>
      </c>
      <c r="J82" s="164">
        <f t="shared" si="3"/>
        <v>62746.5</v>
      </c>
      <c r="K82" s="156"/>
    </row>
    <row r="83" spans="1:11" s="155" customFormat="1" ht="15" customHeight="1">
      <c r="A83" s="160">
        <v>13</v>
      </c>
      <c r="B83" s="160" t="s">
        <v>516</v>
      </c>
      <c r="C83" s="161">
        <v>0.5</v>
      </c>
      <c r="D83" s="157">
        <f t="shared" si="2"/>
        <v>16178.400000000001</v>
      </c>
      <c r="E83" s="161">
        <v>0</v>
      </c>
      <c r="F83" s="157">
        <v>0</v>
      </c>
      <c r="G83" s="157">
        <f>11541.6+4636.8</f>
        <v>16178.400000000001</v>
      </c>
      <c r="H83" s="157">
        <v>25</v>
      </c>
      <c r="I83" s="163">
        <v>0</v>
      </c>
      <c r="J83" s="164">
        <f t="shared" si="3"/>
        <v>242676</v>
      </c>
      <c r="K83" s="156"/>
    </row>
    <row r="84" spans="1:11" s="155" customFormat="1" ht="15" customHeight="1">
      <c r="A84" s="160">
        <v>14</v>
      </c>
      <c r="B84" s="160" t="s">
        <v>516</v>
      </c>
      <c r="C84" s="161">
        <v>1</v>
      </c>
      <c r="D84" s="157">
        <f t="shared" si="2"/>
        <v>8769.6</v>
      </c>
      <c r="E84" s="161">
        <v>0</v>
      </c>
      <c r="F84" s="157">
        <v>0</v>
      </c>
      <c r="G84" s="157">
        <v>8769.6</v>
      </c>
      <c r="H84" s="157">
        <v>25</v>
      </c>
      <c r="I84" s="163">
        <v>0</v>
      </c>
      <c r="J84" s="164">
        <f t="shared" si="3"/>
        <v>131544</v>
      </c>
      <c r="K84" s="156"/>
    </row>
    <row r="85" spans="1:11" s="155" customFormat="1" ht="15" customHeight="1">
      <c r="A85" s="160">
        <v>15</v>
      </c>
      <c r="B85" s="160" t="s">
        <v>516</v>
      </c>
      <c r="C85" s="161">
        <v>0.5</v>
      </c>
      <c r="D85" s="157">
        <f t="shared" si="2"/>
        <v>8820</v>
      </c>
      <c r="E85" s="161">
        <v>0</v>
      </c>
      <c r="F85" s="157">
        <v>0</v>
      </c>
      <c r="G85" s="157">
        <v>8820</v>
      </c>
      <c r="H85" s="157">
        <v>25</v>
      </c>
      <c r="I85" s="163">
        <v>0</v>
      </c>
      <c r="J85" s="164">
        <f t="shared" si="3"/>
        <v>132300</v>
      </c>
      <c r="K85" s="156"/>
    </row>
    <row r="86" spans="1:11" s="155" customFormat="1" ht="15" customHeight="1">
      <c r="A86" s="160">
        <v>16</v>
      </c>
      <c r="B86" s="160" t="s">
        <v>868</v>
      </c>
      <c r="C86" s="161">
        <v>1</v>
      </c>
      <c r="D86" s="157">
        <f t="shared" si="2"/>
        <v>14162.4</v>
      </c>
      <c r="E86" s="161">
        <v>0</v>
      </c>
      <c r="F86" s="157">
        <v>0</v>
      </c>
      <c r="G86" s="157">
        <f>6602.4+7560</f>
        <v>14162.4</v>
      </c>
      <c r="H86" s="157">
        <v>25</v>
      </c>
      <c r="I86" s="163">
        <v>0</v>
      </c>
      <c r="J86" s="164">
        <f t="shared" si="3"/>
        <v>212436</v>
      </c>
      <c r="K86" s="156"/>
    </row>
    <row r="87" spans="1:11" s="155" customFormat="1" ht="15" customHeight="1">
      <c r="A87" s="160">
        <v>17</v>
      </c>
      <c r="B87" s="160" t="s">
        <v>517</v>
      </c>
      <c r="C87" s="161">
        <v>0.5</v>
      </c>
      <c r="D87" s="157">
        <f t="shared" si="2"/>
        <v>9525.6</v>
      </c>
      <c r="E87" s="161">
        <v>0</v>
      </c>
      <c r="F87" s="157">
        <v>0</v>
      </c>
      <c r="G87" s="157">
        <v>9525.6</v>
      </c>
      <c r="H87" s="157">
        <v>25</v>
      </c>
      <c r="I87" s="163">
        <v>0</v>
      </c>
      <c r="J87" s="164">
        <f t="shared" si="3"/>
        <v>142884</v>
      </c>
      <c r="K87" s="156"/>
    </row>
    <row r="88" spans="1:11" s="155" customFormat="1" ht="15" customHeight="1">
      <c r="A88" s="160">
        <v>18</v>
      </c>
      <c r="B88" s="160" t="s">
        <v>869</v>
      </c>
      <c r="C88" s="161">
        <v>1</v>
      </c>
      <c r="D88" s="157">
        <f t="shared" si="2"/>
        <v>8820</v>
      </c>
      <c r="E88" s="161">
        <v>0</v>
      </c>
      <c r="F88" s="157">
        <v>0</v>
      </c>
      <c r="G88" s="157">
        <v>8820</v>
      </c>
      <c r="H88" s="157">
        <v>25</v>
      </c>
      <c r="I88" s="163">
        <v>0</v>
      </c>
      <c r="J88" s="164">
        <f t="shared" si="3"/>
        <v>132300</v>
      </c>
      <c r="K88" s="156"/>
    </row>
    <row r="89" spans="1:11" s="155" customFormat="1" ht="15" customHeight="1">
      <c r="A89" s="160">
        <v>19</v>
      </c>
      <c r="B89" s="160" t="s">
        <v>869</v>
      </c>
      <c r="C89" s="161">
        <v>1</v>
      </c>
      <c r="D89" s="157">
        <f t="shared" si="2"/>
        <v>3679.2</v>
      </c>
      <c r="E89" s="161">
        <v>0</v>
      </c>
      <c r="F89" s="157">
        <v>0</v>
      </c>
      <c r="G89" s="157">
        <v>3679.2</v>
      </c>
      <c r="H89" s="157">
        <v>25</v>
      </c>
      <c r="I89" s="163">
        <v>0</v>
      </c>
      <c r="J89" s="164">
        <f t="shared" si="3"/>
        <v>55188</v>
      </c>
      <c r="K89" s="156"/>
    </row>
    <row r="90" spans="1:11" s="155" customFormat="1" ht="15" customHeight="1">
      <c r="A90" s="160">
        <v>20</v>
      </c>
      <c r="B90" s="160" t="s">
        <v>518</v>
      </c>
      <c r="C90" s="161">
        <v>0.5</v>
      </c>
      <c r="D90" s="157">
        <f t="shared" si="2"/>
        <v>0</v>
      </c>
      <c r="E90" s="161">
        <v>0</v>
      </c>
      <c r="F90" s="157">
        <v>0</v>
      </c>
      <c r="G90" s="157">
        <v>0</v>
      </c>
      <c r="H90" s="157">
        <v>25</v>
      </c>
      <c r="I90" s="163">
        <v>0</v>
      </c>
      <c r="J90" s="164">
        <f t="shared" si="3"/>
        <v>0</v>
      </c>
      <c r="K90" s="156"/>
    </row>
    <row r="91" spans="1:11" s="155" customFormat="1" ht="15" customHeight="1">
      <c r="A91" s="160">
        <v>21</v>
      </c>
      <c r="B91" s="160" t="s">
        <v>518</v>
      </c>
      <c r="C91" s="161">
        <v>0.5</v>
      </c>
      <c r="D91" s="157">
        <f t="shared" si="2"/>
        <v>2520</v>
      </c>
      <c r="E91" s="161">
        <v>0</v>
      </c>
      <c r="F91" s="157">
        <v>0</v>
      </c>
      <c r="G91" s="157">
        <v>2520</v>
      </c>
      <c r="H91" s="157">
        <v>25</v>
      </c>
      <c r="I91" s="163">
        <v>0</v>
      </c>
      <c r="J91" s="164">
        <f t="shared" si="3"/>
        <v>37800</v>
      </c>
      <c r="K91" s="156"/>
    </row>
    <row r="92" spans="1:11" s="155" customFormat="1" ht="15" customHeight="1">
      <c r="A92" s="160">
        <v>22</v>
      </c>
      <c r="B92" s="160" t="s">
        <v>519</v>
      </c>
      <c r="C92" s="161">
        <v>1</v>
      </c>
      <c r="D92" s="157">
        <f t="shared" si="2"/>
        <v>4445</v>
      </c>
      <c r="E92" s="161">
        <v>4445</v>
      </c>
      <c r="F92" s="157">
        <v>0</v>
      </c>
      <c r="G92" s="157">
        <v>0</v>
      </c>
      <c r="H92" s="157">
        <v>25</v>
      </c>
      <c r="I92" s="163">
        <v>0</v>
      </c>
      <c r="J92" s="164">
        <f t="shared" si="3"/>
        <v>66675</v>
      </c>
      <c r="K92" s="156"/>
    </row>
    <row r="93" spans="1:11" s="155" customFormat="1" ht="15" customHeight="1">
      <c r="A93" s="160">
        <v>23</v>
      </c>
      <c r="B93" s="160" t="s">
        <v>520</v>
      </c>
      <c r="C93" s="161">
        <v>1</v>
      </c>
      <c r="D93" s="157">
        <f t="shared" si="2"/>
        <v>13406.4</v>
      </c>
      <c r="E93" s="161">
        <v>0</v>
      </c>
      <c r="F93" s="157">
        <v>0</v>
      </c>
      <c r="G93" s="157">
        <v>13406.4</v>
      </c>
      <c r="H93" s="157">
        <v>25</v>
      </c>
      <c r="I93" s="163">
        <v>0</v>
      </c>
      <c r="J93" s="164">
        <f t="shared" si="3"/>
        <v>201096</v>
      </c>
      <c r="K93" s="156"/>
    </row>
    <row r="94" spans="1:11" s="155" customFormat="1" ht="15" customHeight="1">
      <c r="A94" s="160">
        <v>24</v>
      </c>
      <c r="B94" s="160" t="s">
        <v>521</v>
      </c>
      <c r="C94" s="161">
        <v>1</v>
      </c>
      <c r="D94" s="157">
        <f t="shared" si="2"/>
        <v>10414.16</v>
      </c>
      <c r="E94" s="161">
        <v>3344</v>
      </c>
      <c r="F94" s="157">
        <v>0</v>
      </c>
      <c r="G94" s="157">
        <v>7070.16</v>
      </c>
      <c r="H94" s="157">
        <v>25</v>
      </c>
      <c r="I94" s="163">
        <v>0</v>
      </c>
      <c r="J94" s="164">
        <f t="shared" si="3"/>
        <v>156212.40000000002</v>
      </c>
      <c r="K94" s="156"/>
    </row>
    <row r="95" spans="1:11" s="155" customFormat="1" ht="15" customHeight="1">
      <c r="A95" s="160">
        <v>25</v>
      </c>
      <c r="B95" s="160" t="s">
        <v>521</v>
      </c>
      <c r="C95" s="161">
        <v>1</v>
      </c>
      <c r="D95" s="157">
        <f t="shared" si="2"/>
        <v>5821.76</v>
      </c>
      <c r="E95" s="161">
        <v>3344</v>
      </c>
      <c r="F95" s="157">
        <v>0</v>
      </c>
      <c r="G95" s="157">
        <v>2477.76</v>
      </c>
      <c r="H95" s="157">
        <v>25</v>
      </c>
      <c r="I95" s="163">
        <v>0</v>
      </c>
      <c r="J95" s="164">
        <f t="shared" si="3"/>
        <v>87326.40000000001</v>
      </c>
      <c r="K95" s="156"/>
    </row>
    <row r="96" spans="1:11" s="155" customFormat="1" ht="15" customHeight="1">
      <c r="A96" s="160">
        <v>26</v>
      </c>
      <c r="B96" s="160" t="s">
        <v>522</v>
      </c>
      <c r="C96" s="161">
        <v>1</v>
      </c>
      <c r="D96" s="157">
        <f t="shared" si="2"/>
        <v>8714.88</v>
      </c>
      <c r="E96" s="161">
        <v>0</v>
      </c>
      <c r="F96" s="157">
        <v>0</v>
      </c>
      <c r="G96" s="157">
        <f>4656.48+4058.4</f>
        <v>8714.88</v>
      </c>
      <c r="H96" s="157">
        <v>25</v>
      </c>
      <c r="I96" s="163">
        <v>0</v>
      </c>
      <c r="J96" s="164">
        <f t="shared" si="3"/>
        <v>130723.19999999998</v>
      </c>
      <c r="K96" s="156"/>
    </row>
    <row r="97" spans="1:11" s="155" customFormat="1" ht="15" customHeight="1">
      <c r="A97" s="160">
        <v>27</v>
      </c>
      <c r="B97" s="160" t="s">
        <v>522</v>
      </c>
      <c r="C97" s="161">
        <v>1</v>
      </c>
      <c r="D97" s="157">
        <f t="shared" si="2"/>
        <v>0</v>
      </c>
      <c r="E97" s="161">
        <v>0</v>
      </c>
      <c r="F97" s="157">
        <v>0</v>
      </c>
      <c r="G97" s="157">
        <v>0</v>
      </c>
      <c r="H97" s="157">
        <v>25</v>
      </c>
      <c r="I97" s="163">
        <v>0</v>
      </c>
      <c r="J97" s="164">
        <f t="shared" si="3"/>
        <v>0</v>
      </c>
      <c r="K97" s="156"/>
    </row>
    <row r="98" spans="1:11" s="155" customFormat="1" ht="15" customHeight="1">
      <c r="A98" s="160">
        <v>28</v>
      </c>
      <c r="B98" s="160" t="s">
        <v>522</v>
      </c>
      <c r="C98" s="161">
        <v>1</v>
      </c>
      <c r="D98" s="157">
        <f t="shared" si="2"/>
        <v>4144.77</v>
      </c>
      <c r="E98" s="161">
        <v>0</v>
      </c>
      <c r="F98" s="157">
        <v>0</v>
      </c>
      <c r="G98" s="157">
        <v>4144.77</v>
      </c>
      <c r="H98" s="157">
        <v>25</v>
      </c>
      <c r="I98" s="163">
        <v>0</v>
      </c>
      <c r="J98" s="164">
        <f t="shared" si="3"/>
        <v>62171.55</v>
      </c>
      <c r="K98" s="156"/>
    </row>
    <row r="99" spans="1:11" s="155" customFormat="1" ht="15" customHeight="1">
      <c r="A99" s="160">
        <v>29</v>
      </c>
      <c r="B99" s="160" t="s">
        <v>523</v>
      </c>
      <c r="C99" s="161">
        <v>0.5</v>
      </c>
      <c r="D99" s="157">
        <f t="shared" si="2"/>
        <v>4144.77</v>
      </c>
      <c r="E99" s="161">
        <v>0</v>
      </c>
      <c r="F99" s="157">
        <v>0</v>
      </c>
      <c r="G99" s="157">
        <v>4144.77</v>
      </c>
      <c r="H99" s="157">
        <v>25</v>
      </c>
      <c r="I99" s="163">
        <v>0</v>
      </c>
      <c r="J99" s="164">
        <f t="shared" si="3"/>
        <v>62171.55</v>
      </c>
      <c r="K99" s="156"/>
    </row>
    <row r="100" spans="1:11" s="155" customFormat="1" ht="38.25">
      <c r="A100" s="160">
        <v>30</v>
      </c>
      <c r="B100" s="165" t="s">
        <v>524</v>
      </c>
      <c r="C100" s="161">
        <v>1</v>
      </c>
      <c r="D100" s="157">
        <f t="shared" si="2"/>
        <v>0</v>
      </c>
      <c r="E100" s="161">
        <v>0</v>
      </c>
      <c r="F100" s="157">
        <v>0</v>
      </c>
      <c r="G100" s="157">
        <v>0</v>
      </c>
      <c r="H100" s="157">
        <v>25</v>
      </c>
      <c r="I100" s="163">
        <v>0</v>
      </c>
      <c r="J100" s="164">
        <f t="shared" si="3"/>
        <v>0</v>
      </c>
      <c r="K100" s="156"/>
    </row>
    <row r="101" spans="1:11" s="155" customFormat="1" ht="15" customHeight="1">
      <c r="A101" s="160">
        <v>31</v>
      </c>
      <c r="B101" s="305" t="s">
        <v>525</v>
      </c>
      <c r="C101" s="161">
        <v>1</v>
      </c>
      <c r="D101" s="157">
        <f t="shared" si="2"/>
        <v>2377.62</v>
      </c>
      <c r="E101" s="161">
        <v>0</v>
      </c>
      <c r="F101" s="157">
        <v>0</v>
      </c>
      <c r="G101" s="157">
        <v>2377.62</v>
      </c>
      <c r="H101" s="157">
        <v>25</v>
      </c>
      <c r="I101" s="163">
        <v>0</v>
      </c>
      <c r="J101" s="164">
        <f t="shared" si="3"/>
        <v>35664.299999999996</v>
      </c>
      <c r="K101" s="156"/>
    </row>
    <row r="102" spans="1:11" s="155" customFormat="1" ht="15" customHeight="1">
      <c r="A102" s="160">
        <v>32</v>
      </c>
      <c r="B102" s="160" t="s">
        <v>527</v>
      </c>
      <c r="C102" s="161">
        <v>1</v>
      </c>
      <c r="D102" s="157">
        <f t="shared" si="2"/>
        <v>0</v>
      </c>
      <c r="E102" s="161">
        <v>0</v>
      </c>
      <c r="F102" s="157">
        <v>0</v>
      </c>
      <c r="G102" s="157">
        <v>0</v>
      </c>
      <c r="H102" s="157">
        <v>25</v>
      </c>
      <c r="I102" s="163">
        <v>0</v>
      </c>
      <c r="J102" s="164">
        <f t="shared" si="3"/>
        <v>0</v>
      </c>
      <c r="K102" s="156"/>
    </row>
    <row r="103" spans="1:11" s="155" customFormat="1" ht="15" customHeight="1">
      <c r="A103" s="160">
        <v>33</v>
      </c>
      <c r="B103" s="160" t="s">
        <v>527</v>
      </c>
      <c r="C103" s="161">
        <v>1</v>
      </c>
      <c r="D103" s="157">
        <f t="shared" si="2"/>
        <v>2136</v>
      </c>
      <c r="E103" s="161">
        <v>0</v>
      </c>
      <c r="F103" s="157">
        <v>0</v>
      </c>
      <c r="G103" s="157">
        <v>2136</v>
      </c>
      <c r="H103" s="157">
        <v>25</v>
      </c>
      <c r="I103" s="163">
        <v>0</v>
      </c>
      <c r="J103" s="164">
        <f t="shared" si="3"/>
        <v>32040</v>
      </c>
      <c r="K103" s="156"/>
    </row>
    <row r="104" spans="1:11" s="155" customFormat="1" ht="15" customHeight="1">
      <c r="A104" s="160">
        <v>34</v>
      </c>
      <c r="B104" s="160" t="s">
        <v>527</v>
      </c>
      <c r="C104" s="161">
        <v>1</v>
      </c>
      <c r="D104" s="157">
        <f t="shared" si="2"/>
        <v>0</v>
      </c>
      <c r="E104" s="161">
        <v>0</v>
      </c>
      <c r="F104" s="157">
        <v>0</v>
      </c>
      <c r="G104" s="157">
        <v>0</v>
      </c>
      <c r="H104" s="157">
        <v>25</v>
      </c>
      <c r="I104" s="163">
        <v>0</v>
      </c>
      <c r="J104" s="164">
        <f t="shared" si="3"/>
        <v>0</v>
      </c>
      <c r="K104" s="156"/>
    </row>
    <row r="105" spans="1:11" s="155" customFormat="1" ht="23.25" customHeight="1">
      <c r="A105" s="160">
        <v>35</v>
      </c>
      <c r="B105" s="160" t="s">
        <v>527</v>
      </c>
      <c r="C105" s="161">
        <v>1</v>
      </c>
      <c r="D105" s="157">
        <f t="shared" si="2"/>
        <v>9569.28</v>
      </c>
      <c r="E105" s="161">
        <v>0</v>
      </c>
      <c r="F105" s="157">
        <v>0</v>
      </c>
      <c r="G105" s="157">
        <v>9569.28</v>
      </c>
      <c r="H105" s="157">
        <v>25</v>
      </c>
      <c r="I105" s="163">
        <v>0</v>
      </c>
      <c r="J105" s="164">
        <f>D105*1.25*12+I105*12-20000</f>
        <v>123539.20000000001</v>
      </c>
      <c r="K105" s="156"/>
    </row>
    <row r="106" spans="1:11" s="155" customFormat="1" ht="15" customHeight="1">
      <c r="A106" s="160">
        <v>36</v>
      </c>
      <c r="B106" s="160" t="s">
        <v>527</v>
      </c>
      <c r="C106" s="161">
        <v>1</v>
      </c>
      <c r="D106" s="157">
        <f t="shared" si="2"/>
        <v>16447.2</v>
      </c>
      <c r="E106" s="161">
        <v>0</v>
      </c>
      <c r="F106" s="157">
        <v>0</v>
      </c>
      <c r="G106" s="157">
        <v>16447.2</v>
      </c>
      <c r="H106" s="157">
        <v>25</v>
      </c>
      <c r="I106" s="163">
        <v>0</v>
      </c>
      <c r="J106" s="164">
        <f>D106*1.25*12+I106*12-8402.45</f>
        <v>238305.55</v>
      </c>
      <c r="K106" s="156"/>
    </row>
    <row r="107" spans="1:11" s="155" customFormat="1" ht="38.25" customHeight="1">
      <c r="A107" s="160">
        <v>37</v>
      </c>
      <c r="B107" s="160" t="s">
        <v>527</v>
      </c>
      <c r="C107" s="161">
        <v>1</v>
      </c>
      <c r="D107" s="157">
        <f t="shared" si="2"/>
        <v>0</v>
      </c>
      <c r="E107" s="161">
        <v>0</v>
      </c>
      <c r="F107" s="157">
        <v>0</v>
      </c>
      <c r="G107" s="157">
        <v>0</v>
      </c>
      <c r="H107" s="157">
        <v>25</v>
      </c>
      <c r="I107" s="163">
        <v>0</v>
      </c>
      <c r="J107" s="164">
        <f t="shared" si="3"/>
        <v>0</v>
      </c>
      <c r="K107" s="156"/>
    </row>
    <row r="108" spans="1:11" s="155" customFormat="1" ht="15" customHeight="1">
      <c r="A108" s="160">
        <v>38</v>
      </c>
      <c r="B108" s="160" t="s">
        <v>527</v>
      </c>
      <c r="C108" s="161">
        <v>1</v>
      </c>
      <c r="D108" s="157">
        <f t="shared" si="2"/>
        <v>0</v>
      </c>
      <c r="E108" s="161">
        <v>0</v>
      </c>
      <c r="F108" s="157">
        <v>0</v>
      </c>
      <c r="G108" s="157">
        <v>0</v>
      </c>
      <c r="H108" s="157">
        <v>25</v>
      </c>
      <c r="I108" s="163">
        <v>0</v>
      </c>
      <c r="J108" s="164">
        <f t="shared" si="3"/>
        <v>0</v>
      </c>
      <c r="K108" s="156"/>
    </row>
    <row r="109" spans="1:11" s="155" customFormat="1" ht="15" customHeight="1">
      <c r="A109" s="160">
        <v>39</v>
      </c>
      <c r="B109" s="160" t="s">
        <v>527</v>
      </c>
      <c r="C109" s="161">
        <v>1</v>
      </c>
      <c r="D109" s="157">
        <f t="shared" si="2"/>
        <v>0</v>
      </c>
      <c r="E109" s="161">
        <v>0</v>
      </c>
      <c r="F109" s="157">
        <v>0</v>
      </c>
      <c r="G109" s="157">
        <v>0</v>
      </c>
      <c r="H109" s="157">
        <v>25</v>
      </c>
      <c r="I109" s="163">
        <v>0</v>
      </c>
      <c r="J109" s="164">
        <f t="shared" si="3"/>
        <v>0</v>
      </c>
      <c r="K109" s="156"/>
    </row>
    <row r="110" spans="1:11" s="155" customFormat="1" ht="15" customHeight="1">
      <c r="A110" s="160">
        <v>40</v>
      </c>
      <c r="B110" s="160" t="s">
        <v>527</v>
      </c>
      <c r="C110" s="161">
        <v>1</v>
      </c>
      <c r="D110" s="157">
        <f t="shared" si="2"/>
        <v>0</v>
      </c>
      <c r="E110" s="161">
        <v>0</v>
      </c>
      <c r="F110" s="157">
        <v>0</v>
      </c>
      <c r="G110" s="157">
        <v>0</v>
      </c>
      <c r="H110" s="157">
        <v>25</v>
      </c>
      <c r="I110" s="163">
        <v>0</v>
      </c>
      <c r="J110" s="164">
        <f t="shared" si="3"/>
        <v>0</v>
      </c>
      <c r="K110" s="156"/>
    </row>
    <row r="111" spans="1:11" s="155" customFormat="1" ht="15" customHeight="1">
      <c r="A111" s="160">
        <v>41</v>
      </c>
      <c r="B111" s="160" t="s">
        <v>527</v>
      </c>
      <c r="C111" s="161">
        <v>0.5</v>
      </c>
      <c r="D111" s="157">
        <f t="shared" si="2"/>
        <v>0</v>
      </c>
      <c r="E111" s="161">
        <v>0</v>
      </c>
      <c r="F111" s="157">
        <v>0</v>
      </c>
      <c r="G111" s="157">
        <v>0</v>
      </c>
      <c r="H111" s="157">
        <v>25</v>
      </c>
      <c r="I111" s="163">
        <v>0</v>
      </c>
      <c r="J111" s="164">
        <f t="shared" si="3"/>
        <v>0</v>
      </c>
      <c r="K111" s="156"/>
    </row>
    <row r="112" spans="1:11" s="155" customFormat="1" ht="15" customHeight="1">
      <c r="A112" s="160">
        <v>42</v>
      </c>
      <c r="B112" s="160" t="s">
        <v>527</v>
      </c>
      <c r="C112" s="161">
        <v>0.5</v>
      </c>
      <c r="D112" s="157">
        <f t="shared" si="2"/>
        <v>10602.9</v>
      </c>
      <c r="E112" s="161">
        <v>0</v>
      </c>
      <c r="F112" s="157">
        <v>0</v>
      </c>
      <c r="G112" s="157">
        <v>10602.9</v>
      </c>
      <c r="H112" s="157">
        <v>25</v>
      </c>
      <c r="I112" s="163">
        <v>0</v>
      </c>
      <c r="J112" s="164">
        <f t="shared" si="3"/>
        <v>159043.5</v>
      </c>
      <c r="K112" s="156"/>
    </row>
    <row r="113" spans="1:11" s="155" customFormat="1" ht="15" customHeight="1">
      <c r="A113" s="160">
        <v>43</v>
      </c>
      <c r="B113" s="160" t="s">
        <v>527</v>
      </c>
      <c r="C113" s="161">
        <v>1</v>
      </c>
      <c r="D113" s="157">
        <f t="shared" si="2"/>
        <v>6008.31</v>
      </c>
      <c r="E113" s="161">
        <v>0</v>
      </c>
      <c r="F113" s="157">
        <v>0</v>
      </c>
      <c r="G113" s="157">
        <v>6008.31</v>
      </c>
      <c r="H113" s="157">
        <v>25</v>
      </c>
      <c r="I113" s="163">
        <v>0</v>
      </c>
      <c r="J113" s="164">
        <f t="shared" si="3"/>
        <v>90124.65000000001</v>
      </c>
      <c r="K113" s="156"/>
    </row>
    <row r="114" spans="1:11" s="155" customFormat="1" ht="15" customHeight="1">
      <c r="A114" s="160">
        <v>44</v>
      </c>
      <c r="B114" s="160" t="s">
        <v>527</v>
      </c>
      <c r="C114" s="161">
        <v>1</v>
      </c>
      <c r="D114" s="157">
        <f t="shared" si="2"/>
        <v>6008.31</v>
      </c>
      <c r="E114" s="161">
        <v>0</v>
      </c>
      <c r="F114" s="157">
        <v>0</v>
      </c>
      <c r="G114" s="157">
        <v>6008.31</v>
      </c>
      <c r="H114" s="157">
        <v>25</v>
      </c>
      <c r="I114" s="163">
        <v>0</v>
      </c>
      <c r="J114" s="164">
        <f t="shared" si="3"/>
        <v>90124.65000000001</v>
      </c>
      <c r="K114" s="156"/>
    </row>
    <row r="115" spans="1:11" s="155" customFormat="1" ht="15" customHeight="1">
      <c r="A115" s="160">
        <v>45</v>
      </c>
      <c r="B115" s="160" t="s">
        <v>526</v>
      </c>
      <c r="C115" s="161">
        <v>1</v>
      </c>
      <c r="D115" s="157">
        <f t="shared" si="2"/>
        <v>5976.18</v>
      </c>
      <c r="E115" s="161">
        <v>0</v>
      </c>
      <c r="F115" s="157">
        <v>0</v>
      </c>
      <c r="G115" s="157">
        <v>5976.18</v>
      </c>
      <c r="H115" s="157">
        <v>25</v>
      </c>
      <c r="I115" s="163">
        <v>0</v>
      </c>
      <c r="J115" s="164">
        <f t="shared" si="3"/>
        <v>89642.70000000001</v>
      </c>
      <c r="K115" s="156"/>
    </row>
    <row r="116" spans="1:11" s="155" customFormat="1" ht="15" customHeight="1">
      <c r="A116" s="160">
        <v>46</v>
      </c>
      <c r="B116" s="160" t="s">
        <v>526</v>
      </c>
      <c r="C116" s="161">
        <v>1</v>
      </c>
      <c r="D116" s="157">
        <f t="shared" si="2"/>
        <v>5976.18</v>
      </c>
      <c r="E116" s="161">
        <v>0</v>
      </c>
      <c r="F116" s="162">
        <v>0</v>
      </c>
      <c r="G116" s="157">
        <v>5976.18</v>
      </c>
      <c r="H116" s="157">
        <v>25</v>
      </c>
      <c r="I116" s="163">
        <v>0</v>
      </c>
      <c r="J116" s="164">
        <f t="shared" si="3"/>
        <v>89642.70000000001</v>
      </c>
      <c r="K116" s="156"/>
    </row>
    <row r="117" spans="1:11" s="155" customFormat="1" ht="23.25" customHeight="1">
      <c r="A117" s="165">
        <v>57</v>
      </c>
      <c r="B117" s="165" t="s">
        <v>532</v>
      </c>
      <c r="C117" s="157">
        <v>0.30000000000000004</v>
      </c>
      <c r="D117" s="157">
        <f>E117+F117+G117</f>
        <v>1723.8</v>
      </c>
      <c r="E117" s="157">
        <v>1572.6</v>
      </c>
      <c r="F117" s="157">
        <v>0</v>
      </c>
      <c r="G117" s="157">
        <f>151.2</f>
        <v>151.2</v>
      </c>
      <c r="H117" s="157">
        <v>25</v>
      </c>
      <c r="I117" s="157">
        <v>171</v>
      </c>
      <c r="J117" s="164">
        <f t="shared" si="3"/>
        <v>27909</v>
      </c>
      <c r="K117" s="156"/>
    </row>
    <row r="118" spans="1:11" s="155" customFormat="1" ht="15" customHeight="1">
      <c r="A118" s="160">
        <v>59</v>
      </c>
      <c r="B118" s="160" t="s">
        <v>528</v>
      </c>
      <c r="C118" s="157">
        <v>1</v>
      </c>
      <c r="D118" s="720">
        <f>E118+F118+G118+27450.18-9333.33333</f>
        <v>26163.42334000001</v>
      </c>
      <c r="E118" s="157">
        <v>0</v>
      </c>
      <c r="F118" s="157">
        <v>0</v>
      </c>
      <c r="G118" s="720">
        <f>39119.97+2560.16-115.21-2048.13-26270.21-5200.00333</f>
        <v>8046.5766700000095</v>
      </c>
      <c r="H118" s="157">
        <v>25</v>
      </c>
      <c r="I118" s="157">
        <v>0</v>
      </c>
      <c r="J118" s="164">
        <f>D118*1.25*12+I118*12</f>
        <v>392451.35010000016</v>
      </c>
      <c r="K118" s="156"/>
    </row>
    <row r="119" spans="1:12" ht="15" customHeight="1">
      <c r="A119" s="836" t="s">
        <v>533</v>
      </c>
      <c r="B119" s="837"/>
      <c r="C119" s="633">
        <f>SUM(C71:C117)</f>
        <v>42.3</v>
      </c>
      <c r="D119" s="633">
        <f>SUM(D71:D118)</f>
        <v>357663.36334000004</v>
      </c>
      <c r="E119" s="633">
        <f>SUM(E71:E118)</f>
        <v>12705.6</v>
      </c>
      <c r="F119" s="633">
        <f>SUM(F71:F117)</f>
        <v>0</v>
      </c>
      <c r="G119" s="633">
        <f>SUM(G71:G118)</f>
        <v>326840.91667000006</v>
      </c>
      <c r="H119" s="633" t="s">
        <v>530</v>
      </c>
      <c r="I119" s="633">
        <f>SUM(I71:I118)</f>
        <v>171</v>
      </c>
      <c r="J119" s="633">
        <f>SUM(J71:J118)</f>
        <v>5338600.000100001</v>
      </c>
      <c r="K119" s="395">
        <f>J119</f>
        <v>5338600.000100001</v>
      </c>
      <c r="L119" s="668"/>
    </row>
    <row r="120" spans="1:11" ht="15.75" customHeight="1">
      <c r="A120" s="836" t="s">
        <v>534</v>
      </c>
      <c r="B120" s="838"/>
      <c r="C120" s="838"/>
      <c r="D120" s="838"/>
      <c r="E120" s="838"/>
      <c r="F120" s="838"/>
      <c r="G120" s="838"/>
      <c r="H120" s="838"/>
      <c r="I120" s="837"/>
      <c r="J120" s="633">
        <f>J119+J59+J60</f>
        <v>13974600.000100002</v>
      </c>
      <c r="K120" s="633">
        <f>J120</f>
        <v>13974600.000100002</v>
      </c>
    </row>
  </sheetData>
  <sheetProtection selectLockedCells="1" selectUnlockedCells="1"/>
  <mergeCells count="30">
    <mergeCell ref="A9:J9"/>
    <mergeCell ref="A11:A13"/>
    <mergeCell ref="K59:K60"/>
    <mergeCell ref="A60:B60"/>
    <mergeCell ref="J11:J13"/>
    <mergeCell ref="D12:D13"/>
    <mergeCell ref="E12:G12"/>
    <mergeCell ref="C11:C13"/>
    <mergeCell ref="D11:G11"/>
    <mergeCell ref="H11:H13"/>
    <mergeCell ref="H1:K1"/>
    <mergeCell ref="K11:K13"/>
    <mergeCell ref="A3:J3"/>
    <mergeCell ref="A4:J4"/>
    <mergeCell ref="E7:J7"/>
    <mergeCell ref="J67:J69"/>
    <mergeCell ref="D68:D69"/>
    <mergeCell ref="E68:G68"/>
    <mergeCell ref="B11:B13"/>
    <mergeCell ref="I11:I13"/>
    <mergeCell ref="A119:B119"/>
    <mergeCell ref="A120:I120"/>
    <mergeCell ref="A59:B59"/>
    <mergeCell ref="A65:J65"/>
    <mergeCell ref="A67:A69"/>
    <mergeCell ref="B67:B69"/>
    <mergeCell ref="C67:C69"/>
    <mergeCell ref="D67:G67"/>
    <mergeCell ref="H67:H69"/>
    <mergeCell ref="I67:I69"/>
  </mergeCells>
  <printOptions/>
  <pageMargins left="0.5118110236220472" right="0.3937007874015748" top="0.5905511811023623" bottom="0.5511811023622047" header="0.35433070866141736" footer="0.31496062992125984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ZP2</dc:creator>
  <cp:keywords/>
  <dc:description/>
  <cp:lastModifiedBy>ZAM</cp:lastModifiedBy>
  <cp:lastPrinted>2019-08-01T13:13:03Z</cp:lastPrinted>
  <dcterms:created xsi:type="dcterms:W3CDTF">2017-01-17T06:50:59Z</dcterms:created>
  <dcterms:modified xsi:type="dcterms:W3CDTF">2019-08-01T13:17:47Z</dcterms:modified>
  <cp:category/>
  <cp:version/>
  <cp:contentType/>
  <cp:contentStatus/>
</cp:coreProperties>
</file>